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HA1\Dropbox\tesis avances\TESIS\para presentar\"/>
    </mc:Choice>
  </mc:AlternateContent>
  <bookViews>
    <workbookView xWindow="0" yWindow="0" windowWidth="20490" windowHeight="6855" firstSheet="7" activeTab="10"/>
  </bookViews>
  <sheets>
    <sheet name="kardex materiales" sheetId="1" r:id="rId1"/>
    <sheet name="kardex reactivos 1" sheetId="2" r:id="rId2"/>
    <sheet name="kardex reactivos 2" sheetId="3" r:id="rId3"/>
    <sheet name="kardex reactivos 3" sheetId="4" r:id="rId4"/>
    <sheet name="Libro diario" sheetId="10" r:id="rId5"/>
    <sheet name="hoja de costos " sheetId="6" r:id="rId6"/>
    <sheet name="Mayorización " sheetId="8" r:id="rId7"/>
    <sheet name="Rol de pagos octubre" sheetId="7" r:id="rId8"/>
    <sheet name="Calculo tiempo inactivo" sheetId="15" r:id="rId9"/>
    <sheet name="Rol de Provisiones" sheetId="9" r:id="rId10"/>
    <sheet name="depreciaciones" sheetId="11" r:id="rId11"/>
    <sheet name="estado prod y ventas" sheetId="12" r:id="rId12"/>
    <sheet name="tasa MOD " sheetId="14" r:id="rId13"/>
    <sheet name="PRESUPUESTO cif " sheetId="21" r:id="rId14"/>
    <sheet name="hojas de costos 2" sheetId="17" r:id="rId15"/>
    <sheet name="Minutos MOD por exmen " sheetId="18" r:id="rId16"/>
    <sheet name="cuadro propuesta" sheetId="16" r:id="rId17"/>
    <sheet name="tasa cif" sheetId="20" r:id="rId18"/>
  </sheets>
  <externalReferences>
    <externalReference r:id="rId19"/>
    <externalReference r:id="rId20"/>
  </externalReferences>
  <definedNames>
    <definedName name="_xlnm._FilterDatabase" localSheetId="16" hidden="1">'cuadro propuesta'!$A$3:$H$3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5" l="1"/>
  <c r="O8" i="15"/>
  <c r="O7" i="15"/>
  <c r="O6" i="15"/>
  <c r="O5" i="15"/>
  <c r="O4" i="15"/>
  <c r="E55" i="21" l="1"/>
  <c r="C54" i="21"/>
  <c r="C53" i="21"/>
  <c r="H84" i="11"/>
  <c r="G84" i="11"/>
  <c r="H82" i="11"/>
  <c r="D84" i="11"/>
  <c r="C84" i="11"/>
  <c r="H83" i="11"/>
  <c r="D83" i="11"/>
  <c r="D82" i="11"/>
  <c r="G83" i="11"/>
  <c r="C83" i="11"/>
  <c r="D74" i="11"/>
  <c r="H309" i="17" l="1"/>
  <c r="E5" i="16"/>
  <c r="F14" i="14" l="1"/>
  <c r="E4" i="16"/>
  <c r="F33" i="15" l="1"/>
  <c r="K15" i="15" s="1"/>
  <c r="F28" i="15"/>
  <c r="K14" i="15" s="1"/>
  <c r="K16" i="15" l="1"/>
  <c r="D54" i="21" l="1"/>
  <c r="D55" i="21" s="1"/>
  <c r="E33" i="20" s="1"/>
  <c r="G33" i="20" s="1"/>
  <c r="C55" i="21"/>
  <c r="E27" i="20" s="1"/>
  <c r="G27" i="20" s="1"/>
  <c r="E37" i="21"/>
  <c r="D34" i="21"/>
  <c r="E34" i="21" s="1"/>
  <c r="E54" i="21" l="1"/>
  <c r="E9" i="20"/>
  <c r="G9" i="20" s="1"/>
  <c r="M571" i="17" l="1"/>
  <c r="M436" i="17"/>
  <c r="M294" i="17"/>
  <c r="M152" i="17"/>
  <c r="M27" i="17"/>
  <c r="M329" i="17"/>
  <c r="M685" i="17"/>
  <c r="M552" i="17"/>
  <c r="M422" i="17"/>
  <c r="M277" i="17"/>
  <c r="M137" i="17"/>
  <c r="M9" i="17"/>
  <c r="M57" i="17"/>
  <c r="M668" i="17"/>
  <c r="M535" i="17"/>
  <c r="M403" i="17"/>
  <c r="M263" i="17"/>
  <c r="M118" i="17"/>
  <c r="M649" i="17"/>
  <c r="M518" i="17"/>
  <c r="M383" i="17"/>
  <c r="M246" i="17"/>
  <c r="M102" i="17"/>
  <c r="M631" i="17"/>
  <c r="M501" i="17"/>
  <c r="M369" i="17"/>
  <c r="M232" i="17"/>
  <c r="M85" i="17"/>
  <c r="M617" i="17"/>
  <c r="M484" i="17"/>
  <c r="M348" i="17"/>
  <c r="M213" i="17"/>
  <c r="M71" i="17"/>
  <c r="M470" i="17"/>
  <c r="M603" i="17"/>
  <c r="M588" i="17"/>
  <c r="M456" i="17"/>
  <c r="M309" i="17"/>
  <c r="M174" i="17"/>
  <c r="M44" i="17"/>
  <c r="M193" i="17"/>
  <c r="M248" i="6"/>
  <c r="M127" i="6"/>
  <c r="M214" i="6"/>
  <c r="M94" i="6"/>
  <c r="M195" i="6"/>
  <c r="M74" i="6"/>
  <c r="M56" i="6"/>
  <c r="M180" i="6"/>
  <c r="M39" i="6"/>
  <c r="M162" i="6"/>
  <c r="M140" i="6"/>
  <c r="M11" i="6"/>
  <c r="M228" i="6"/>
  <c r="M108" i="6"/>
  <c r="M25" i="6"/>
  <c r="I450" i="2"/>
  <c r="I451" i="2" s="1"/>
  <c r="I452" i="2" s="1"/>
  <c r="K437" i="4" l="1"/>
  <c r="I437" i="4"/>
  <c r="I438" i="4" s="1"/>
  <c r="D437" i="4"/>
  <c r="K425" i="4"/>
  <c r="I425" i="4"/>
  <c r="I426" i="4" s="1"/>
  <c r="D425" i="4"/>
  <c r="J425" i="4" l="1"/>
  <c r="G426" i="4" s="1"/>
  <c r="J437" i="4"/>
  <c r="G438" i="4" s="1"/>
  <c r="H438" i="4" l="1"/>
  <c r="K438" i="4" s="1"/>
  <c r="J438" i="4" s="1"/>
  <c r="D443" i="17"/>
  <c r="E443" i="17" s="1"/>
  <c r="H426" i="4"/>
  <c r="K426" i="4" s="1"/>
  <c r="J426" i="4" s="1"/>
  <c r="D441" i="17"/>
  <c r="E441" i="17" s="1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 l="1"/>
  <c r="C39" i="18"/>
  <c r="C41" i="18"/>
  <c r="C40" i="18"/>
  <c r="C42" i="18"/>
  <c r="C38" i="18"/>
  <c r="H631" i="17" l="1"/>
  <c r="H9" i="15"/>
  <c r="B6" i="15"/>
  <c r="H39" i="6"/>
  <c r="H685" i="17"/>
  <c r="B17" i="15"/>
  <c r="H5" i="15"/>
  <c r="B12" i="15"/>
  <c r="H140" i="6"/>
  <c r="H228" i="6"/>
  <c r="H668" i="17"/>
  <c r="H6" i="15"/>
  <c r="B8" i="15"/>
  <c r="H74" i="6"/>
  <c r="H617" i="17"/>
  <c r="H7" i="15"/>
  <c r="B18" i="15"/>
  <c r="B14" i="15"/>
  <c r="B5" i="15"/>
  <c r="B11" i="15"/>
  <c r="H127" i="6"/>
  <c r="H248" i="6"/>
  <c r="H180" i="6"/>
  <c r="H94" i="6"/>
  <c r="H25" i="6"/>
  <c r="H649" i="17"/>
  <c r="B10" i="15"/>
  <c r="H4" i="15"/>
  <c r="B15" i="15"/>
  <c r="B7" i="15"/>
  <c r="H195" i="6"/>
  <c r="H56" i="6"/>
  <c r="H108" i="6"/>
  <c r="E619" i="17"/>
  <c r="C37" i="18"/>
  <c r="E606" i="17"/>
  <c r="E605" i="17"/>
  <c r="E604" i="17"/>
  <c r="C36" i="18"/>
  <c r="H588" i="17" s="1"/>
  <c r="C35" i="18"/>
  <c r="H571" i="17" s="1"/>
  <c r="C34" i="18"/>
  <c r="H552" i="17" s="1"/>
  <c r="C33" i="18"/>
  <c r="H535" i="17" s="1"/>
  <c r="C32" i="18"/>
  <c r="H518" i="17" s="1"/>
  <c r="C31" i="18"/>
  <c r="H501" i="17" s="1"/>
  <c r="C30" i="18"/>
  <c r="H484" i="17" s="1"/>
  <c r="C29" i="18"/>
  <c r="H470" i="17" s="1"/>
  <c r="C28" i="18"/>
  <c r="H456" i="17" s="1"/>
  <c r="C27" i="18"/>
  <c r="H436" i="17" s="1"/>
  <c r="C23" i="18"/>
  <c r="H369" i="17" s="1"/>
  <c r="C22" i="18"/>
  <c r="H348" i="17" s="1"/>
  <c r="C20" i="18"/>
  <c r="C19" i="18"/>
  <c r="H294" i="17" s="1"/>
  <c r="C18" i="18"/>
  <c r="H277" i="17" s="1"/>
  <c r="C15" i="18"/>
  <c r="H232" i="17" s="1"/>
  <c r="C26" i="18"/>
  <c r="H422" i="17" s="1"/>
  <c r="C17" i="18"/>
  <c r="H263" i="17" s="1"/>
  <c r="C16" i="18"/>
  <c r="H246" i="17" s="1"/>
  <c r="C25" i="18"/>
  <c r="H403" i="17" s="1"/>
  <c r="C24" i="18"/>
  <c r="H383" i="17" s="1"/>
  <c r="C21" i="18"/>
  <c r="H329" i="17" s="1"/>
  <c r="C13" i="18"/>
  <c r="C14" i="18"/>
  <c r="H213" i="17" s="1"/>
  <c r="C12" i="18"/>
  <c r="H193" i="17" s="1"/>
  <c r="C11" i="18"/>
  <c r="H152" i="17" s="1"/>
  <c r="C10" i="18"/>
  <c r="H137" i="17" s="1"/>
  <c r="H603" i="17" l="1"/>
  <c r="H8" i="15"/>
  <c r="B13" i="15"/>
  <c r="B9" i="15"/>
  <c r="B16" i="15"/>
  <c r="B4" i="15"/>
  <c r="H11" i="6"/>
  <c r="H162" i="6"/>
  <c r="H214" i="6"/>
  <c r="H174" i="17"/>
  <c r="C9" i="18" l="1"/>
  <c r="H118" i="17" s="1"/>
  <c r="C8" i="18" l="1"/>
  <c r="H102" i="17" s="1"/>
  <c r="C7" i="18"/>
  <c r="H85" i="17" s="1"/>
  <c r="C6" i="18"/>
  <c r="H71" i="17" s="1"/>
  <c r="C5" i="18"/>
  <c r="H57" i="17" s="1"/>
  <c r="C4" i="18"/>
  <c r="H44" i="17" s="1"/>
  <c r="C3" i="18"/>
  <c r="H27" i="17" s="1"/>
  <c r="C2" i="18" l="1"/>
  <c r="H9" i="17" s="1"/>
  <c r="G37" i="14" l="1"/>
  <c r="E591" i="17"/>
  <c r="E590" i="17"/>
  <c r="E589" i="17"/>
  <c r="E521" i="17"/>
  <c r="E473" i="17"/>
  <c r="E472" i="17"/>
  <c r="E471" i="17"/>
  <c r="E459" i="17"/>
  <c r="E458" i="17"/>
  <c r="E457" i="17"/>
  <c r="E425" i="17" l="1"/>
  <c r="E424" i="17"/>
  <c r="E423" i="17"/>
  <c r="D391" i="17" l="1"/>
  <c r="E391" i="17" s="1"/>
  <c r="D372" i="17"/>
  <c r="E372" i="17" s="1"/>
  <c r="D371" i="17"/>
  <c r="E371" i="17" s="1"/>
  <c r="D370" i="17"/>
  <c r="E370" i="17" s="1"/>
  <c r="E297" i="17" l="1"/>
  <c r="E296" i="17"/>
  <c r="E295" i="17"/>
  <c r="D280" i="17"/>
  <c r="E280" i="17" s="1"/>
  <c r="D279" i="17"/>
  <c r="E279" i="17" s="1"/>
  <c r="D278" i="17"/>
  <c r="E278" i="17" s="1"/>
  <c r="D266" i="17"/>
  <c r="E266" i="17" s="1"/>
  <c r="D264" i="17"/>
  <c r="E264" i="17" s="1"/>
  <c r="E235" i="17"/>
  <c r="E140" i="17" l="1"/>
  <c r="E139" i="17"/>
  <c r="D87" i="17" l="1"/>
  <c r="E87" i="17" s="1"/>
  <c r="D73" i="17"/>
  <c r="E73" i="17" s="1"/>
  <c r="D60" i="17"/>
  <c r="E60" i="17" s="1"/>
  <c r="D59" i="17"/>
  <c r="E59" i="17" s="1"/>
  <c r="D58" i="17"/>
  <c r="E58" i="17" s="1"/>
  <c r="D46" i="17"/>
  <c r="E46" i="17" s="1"/>
  <c r="D65" i="8" l="1"/>
  <c r="J56" i="8"/>
  <c r="G56" i="8"/>
  <c r="J48" i="8"/>
  <c r="H104" i="8" l="1"/>
  <c r="E104" i="8"/>
  <c r="B104" i="8"/>
  <c r="K97" i="8"/>
  <c r="H97" i="8"/>
  <c r="E97" i="8"/>
  <c r="B97" i="8"/>
  <c r="G103" i="8"/>
  <c r="D103" i="8"/>
  <c r="A103" i="8"/>
  <c r="J96" i="8"/>
  <c r="G96" i="8"/>
  <c r="D96" i="8"/>
  <c r="A96" i="8"/>
  <c r="D47" i="8" l="1"/>
  <c r="J89" i="8"/>
  <c r="E30" i="8"/>
  <c r="D89" i="8"/>
  <c r="G89" i="8"/>
  <c r="A89" i="8"/>
  <c r="J47" i="8"/>
  <c r="G47" i="8"/>
  <c r="I5" i="15"/>
  <c r="I6" i="15"/>
  <c r="I7" i="15"/>
  <c r="I8" i="15"/>
  <c r="I9" i="15"/>
  <c r="I4" i="15"/>
  <c r="I10" i="15" l="1"/>
  <c r="I28" i="14" l="1"/>
  <c r="I29" i="14" s="1"/>
  <c r="D11" i="14"/>
  <c r="I37" i="14" s="1"/>
  <c r="K7" i="14"/>
  <c r="M7" i="14" s="1"/>
  <c r="I11" i="6" l="1"/>
  <c r="J11" i="6" s="1"/>
  <c r="C4" i="15"/>
  <c r="I685" i="17"/>
  <c r="J685" i="17" s="1"/>
  <c r="J694" i="17" s="1"/>
  <c r="I631" i="17"/>
  <c r="J631" i="17" s="1"/>
  <c r="J638" i="17" s="1"/>
  <c r="I668" i="17"/>
  <c r="J668" i="17" s="1"/>
  <c r="J675" i="17" s="1"/>
  <c r="I649" i="17"/>
  <c r="J649" i="17" s="1"/>
  <c r="J657" i="17" s="1"/>
  <c r="I617" i="17"/>
  <c r="J617" i="17" s="1"/>
  <c r="J620" i="17" s="1"/>
  <c r="I603" i="17"/>
  <c r="J603" i="17" s="1"/>
  <c r="J607" i="17" s="1"/>
  <c r="I588" i="17"/>
  <c r="J588" i="17" s="1"/>
  <c r="J592" i="17" s="1"/>
  <c r="I57" i="17"/>
  <c r="J57" i="17" s="1"/>
  <c r="J61" i="17" s="1"/>
  <c r="I193" i="17"/>
  <c r="J193" i="17" s="1"/>
  <c r="J202" i="17" s="1"/>
  <c r="I294" i="17"/>
  <c r="J294" i="17" s="1"/>
  <c r="J298" i="17" s="1"/>
  <c r="I369" i="17"/>
  <c r="J369" i="17" s="1"/>
  <c r="J373" i="17" s="1"/>
  <c r="I174" i="17"/>
  <c r="J174" i="17" s="1"/>
  <c r="J183" i="17" s="1"/>
  <c r="I456" i="17"/>
  <c r="J456" i="17" s="1"/>
  <c r="J460" i="17" s="1"/>
  <c r="I348" i="17"/>
  <c r="J348" i="17" s="1"/>
  <c r="J357" i="17" s="1"/>
  <c r="I535" i="17"/>
  <c r="J535" i="17" s="1"/>
  <c r="J542" i="17" s="1"/>
  <c r="I263" i="17"/>
  <c r="J263" i="17" s="1"/>
  <c r="J267" i="17" s="1"/>
  <c r="I152" i="17"/>
  <c r="J152" i="17" s="1"/>
  <c r="J161" i="17" s="1"/>
  <c r="I436" i="17"/>
  <c r="J436" i="17" s="1"/>
  <c r="J445" i="17" s="1"/>
  <c r="I403" i="17"/>
  <c r="J403" i="17" s="1"/>
  <c r="J412" i="17" s="1"/>
  <c r="I71" i="17"/>
  <c r="J71" i="17" s="1"/>
  <c r="J75" i="17" s="1"/>
  <c r="I329" i="17"/>
  <c r="J329" i="17" s="1"/>
  <c r="J338" i="17" s="1"/>
  <c r="I383" i="17"/>
  <c r="J383" i="17" s="1"/>
  <c r="J392" i="17" s="1"/>
  <c r="I518" i="17"/>
  <c r="J518" i="17" s="1"/>
  <c r="J522" i="17" s="1"/>
  <c r="I470" i="17"/>
  <c r="J470" i="17" s="1"/>
  <c r="J474" i="17" s="1"/>
  <c r="I246" i="17"/>
  <c r="J246" i="17" s="1"/>
  <c r="J253" i="17" s="1"/>
  <c r="I422" i="17"/>
  <c r="J422" i="17" s="1"/>
  <c r="J426" i="17" s="1"/>
  <c r="I552" i="17"/>
  <c r="J552" i="17" s="1"/>
  <c r="J561" i="17" s="1"/>
  <c r="I44" i="17"/>
  <c r="J44" i="17" s="1"/>
  <c r="J47" i="17" s="1"/>
  <c r="I232" i="17"/>
  <c r="J232" i="17" s="1"/>
  <c r="J236" i="17" s="1"/>
  <c r="I85" i="17"/>
  <c r="I277" i="17"/>
  <c r="J277" i="17" s="1"/>
  <c r="J281" i="17" s="1"/>
  <c r="I309" i="17"/>
  <c r="J309" i="17" s="1"/>
  <c r="J319" i="17" s="1"/>
  <c r="I501" i="17"/>
  <c r="J501" i="17" s="1"/>
  <c r="J508" i="17" s="1"/>
  <c r="I27" i="17"/>
  <c r="J27" i="17" s="1"/>
  <c r="J33" i="17" s="1"/>
  <c r="I102" i="17"/>
  <c r="J102" i="17" s="1"/>
  <c r="J108" i="17" s="1"/>
  <c r="I484" i="17"/>
  <c r="J484" i="17" s="1"/>
  <c r="J491" i="17" s="1"/>
  <c r="I571" i="17"/>
  <c r="J571" i="17" s="1"/>
  <c r="J578" i="17" s="1"/>
  <c r="I118" i="17"/>
  <c r="J118" i="17" s="1"/>
  <c r="J125" i="17" s="1"/>
  <c r="I9" i="17"/>
  <c r="J9" i="17" s="1"/>
  <c r="J16" i="17" s="1"/>
  <c r="I137" i="17"/>
  <c r="J137" i="17" s="1"/>
  <c r="J141" i="17" s="1"/>
  <c r="I213" i="17"/>
  <c r="J213" i="17" s="1"/>
  <c r="J222" i="17" s="1"/>
  <c r="I195" i="6"/>
  <c r="I127" i="6"/>
  <c r="I56" i="6"/>
  <c r="I180" i="6"/>
  <c r="I108" i="6"/>
  <c r="I39" i="6"/>
  <c r="I228" i="6"/>
  <c r="I162" i="6"/>
  <c r="I94" i="6"/>
  <c r="I25" i="6"/>
  <c r="I214" i="6"/>
  <c r="I140" i="6"/>
  <c r="I74" i="6"/>
  <c r="C6" i="15"/>
  <c r="C10" i="15"/>
  <c r="D10" i="15" s="1"/>
  <c r="C18" i="15"/>
  <c r="D18" i="15" s="1"/>
  <c r="C7" i="15"/>
  <c r="C11" i="15"/>
  <c r="D11" i="15" s="1"/>
  <c r="C15" i="15"/>
  <c r="D15" i="15" s="1"/>
  <c r="C8" i="15"/>
  <c r="C12" i="15"/>
  <c r="D12" i="15" s="1"/>
  <c r="C16" i="15"/>
  <c r="D16" i="15" s="1"/>
  <c r="C5" i="15"/>
  <c r="C9" i="15"/>
  <c r="C13" i="15"/>
  <c r="D13" i="15" s="1"/>
  <c r="C17" i="15"/>
  <c r="D17" i="15" s="1"/>
  <c r="C14" i="15"/>
  <c r="D14" i="15" s="1"/>
  <c r="Q604" i="17" l="1"/>
  <c r="L603" i="17"/>
  <c r="N603" i="17" s="1"/>
  <c r="N607" i="17" s="1"/>
  <c r="Q605" i="17" s="1"/>
  <c r="Q618" i="17"/>
  <c r="L617" i="17"/>
  <c r="N617" i="17" s="1"/>
  <c r="N620" i="17" s="1"/>
  <c r="Q619" i="17" s="1"/>
  <c r="L649" i="17"/>
  <c r="N649" i="17" s="1"/>
  <c r="N657" i="17" s="1"/>
  <c r="Q651" i="17" s="1"/>
  <c r="Q650" i="17"/>
  <c r="Q669" i="17"/>
  <c r="L668" i="17"/>
  <c r="N668" i="17" s="1"/>
  <c r="N675" i="17" s="1"/>
  <c r="Q670" i="17" s="1"/>
  <c r="L631" i="17"/>
  <c r="N631" i="17" s="1"/>
  <c r="N638" i="17" s="1"/>
  <c r="Q633" i="17" s="1"/>
  <c r="Q632" i="17"/>
  <c r="L685" i="17"/>
  <c r="N685" i="17" s="1"/>
  <c r="N694" i="17" s="1"/>
  <c r="Q687" i="17" s="1"/>
  <c r="Q686" i="17"/>
  <c r="Q485" i="17"/>
  <c r="L484" i="17"/>
  <c r="N484" i="17" s="1"/>
  <c r="N491" i="17" s="1"/>
  <c r="Q486" i="17" s="1"/>
  <c r="Q330" i="17"/>
  <c r="L329" i="17"/>
  <c r="N329" i="17" s="1"/>
  <c r="N338" i="17" s="1"/>
  <c r="Q331" i="17" s="1"/>
  <c r="Q457" i="17"/>
  <c r="L456" i="17"/>
  <c r="N456" i="17" s="1"/>
  <c r="N460" i="17" s="1"/>
  <c r="Q458" i="17" s="1"/>
  <c r="Q553" i="17"/>
  <c r="L552" i="17"/>
  <c r="N552" i="17" s="1"/>
  <c r="N561" i="17" s="1"/>
  <c r="Q554" i="17" s="1"/>
  <c r="Q404" i="17"/>
  <c r="L403" i="17"/>
  <c r="N403" i="17" s="1"/>
  <c r="N412" i="17" s="1"/>
  <c r="Q405" i="17" s="1"/>
  <c r="Q502" i="17"/>
  <c r="L501" i="17"/>
  <c r="N501" i="17" s="1"/>
  <c r="N508" i="17" s="1"/>
  <c r="Q503" i="17" s="1"/>
  <c r="Q423" i="17"/>
  <c r="L422" i="17"/>
  <c r="N422" i="17" s="1"/>
  <c r="N426" i="17" s="1"/>
  <c r="Q424" i="17" s="1"/>
  <c r="Q437" i="17"/>
  <c r="L436" i="17"/>
  <c r="N436" i="17" s="1"/>
  <c r="N445" i="17" s="1"/>
  <c r="Q438" i="17" s="1"/>
  <c r="Q370" i="17"/>
  <c r="L369" i="17"/>
  <c r="N369" i="17" s="1"/>
  <c r="N373" i="17" s="1"/>
  <c r="Q371" i="17" s="1"/>
  <c r="Q471" i="17"/>
  <c r="L470" i="17"/>
  <c r="N470" i="17" s="1"/>
  <c r="N474" i="17" s="1"/>
  <c r="Q472" i="17" s="1"/>
  <c r="Q519" i="17"/>
  <c r="L518" i="17"/>
  <c r="N518" i="17" s="1"/>
  <c r="N522" i="17" s="1"/>
  <c r="Q520" i="17" s="1"/>
  <c r="Q536" i="17"/>
  <c r="L535" i="17"/>
  <c r="N535" i="17" s="1"/>
  <c r="N542" i="17" s="1"/>
  <c r="Q537" i="17" s="1"/>
  <c r="Q572" i="17"/>
  <c r="L571" i="17"/>
  <c r="N571" i="17" s="1"/>
  <c r="N578" i="17" s="1"/>
  <c r="Q573" i="17" s="1"/>
  <c r="Q384" i="17"/>
  <c r="L383" i="17"/>
  <c r="N383" i="17" s="1"/>
  <c r="N392" i="17" s="1"/>
  <c r="Q385" i="17" s="1"/>
  <c r="Q349" i="17"/>
  <c r="L348" i="17"/>
  <c r="N348" i="17" s="1"/>
  <c r="N357" i="17" s="1"/>
  <c r="Q350" i="17" s="1"/>
  <c r="Q589" i="17"/>
  <c r="L588" i="17"/>
  <c r="N588" i="17" s="1"/>
  <c r="N592" i="17" s="1"/>
  <c r="Q590" i="17" s="1"/>
  <c r="Q175" i="17"/>
  <c r="L174" i="17"/>
  <c r="N174" i="17" s="1"/>
  <c r="N183" i="17" s="1"/>
  <c r="Q176" i="17" s="1"/>
  <c r="Q214" i="17"/>
  <c r="L213" i="17"/>
  <c r="N213" i="17" s="1"/>
  <c r="N222" i="17" s="1"/>
  <c r="Q215" i="17" s="1"/>
  <c r="Q138" i="17"/>
  <c r="L137" i="17"/>
  <c r="N137" i="17" s="1"/>
  <c r="N141" i="17" s="1"/>
  <c r="Q139" i="17" s="1"/>
  <c r="Q247" i="17"/>
  <c r="L246" i="17"/>
  <c r="N246" i="17" s="1"/>
  <c r="N253" i="17" s="1"/>
  <c r="Q248" i="17" s="1"/>
  <c r="Q153" i="17"/>
  <c r="L152" i="17"/>
  <c r="N152" i="17" s="1"/>
  <c r="N161" i="17" s="1"/>
  <c r="Q154" i="17" s="1"/>
  <c r="Q295" i="17"/>
  <c r="L294" i="17"/>
  <c r="N294" i="17" s="1"/>
  <c r="N298" i="17" s="1"/>
  <c r="Q296" i="17" s="1"/>
  <c r="Q278" i="17"/>
  <c r="L277" i="17"/>
  <c r="N277" i="17" s="1"/>
  <c r="N281" i="17" s="1"/>
  <c r="Q279" i="17" s="1"/>
  <c r="Q264" i="17"/>
  <c r="L263" i="17"/>
  <c r="N263" i="17" s="1"/>
  <c r="N267" i="17" s="1"/>
  <c r="Q265" i="17" s="1"/>
  <c r="Q194" i="17"/>
  <c r="L193" i="17"/>
  <c r="N193" i="17" s="1"/>
  <c r="N202" i="17" s="1"/>
  <c r="Q195" i="17" s="1"/>
  <c r="J85" i="17"/>
  <c r="J91" i="17" s="1"/>
  <c r="Q310" i="17"/>
  <c r="L309" i="17"/>
  <c r="N309" i="17" s="1"/>
  <c r="N319" i="17" s="1"/>
  <c r="Q311" i="17" s="1"/>
  <c r="Q233" i="17"/>
  <c r="L232" i="17"/>
  <c r="N232" i="17" s="1"/>
  <c r="N236" i="17" s="1"/>
  <c r="Q234" i="17" s="1"/>
  <c r="L102" i="17"/>
  <c r="N102" i="17" s="1"/>
  <c r="N108" i="17" s="1"/>
  <c r="Q104" i="17" s="1"/>
  <c r="Q103" i="17"/>
  <c r="L44" i="17"/>
  <c r="N44" i="17" s="1"/>
  <c r="N47" i="17" s="1"/>
  <c r="Q46" i="17" s="1"/>
  <c r="Q45" i="17"/>
  <c r="L71" i="17"/>
  <c r="N71" i="17" s="1"/>
  <c r="N75" i="17" s="1"/>
  <c r="Q73" i="17" s="1"/>
  <c r="Q72" i="17"/>
  <c r="L27" i="17"/>
  <c r="N27" i="17" s="1"/>
  <c r="N33" i="17" s="1"/>
  <c r="Q29" i="17" s="1"/>
  <c r="Q28" i="17"/>
  <c r="L9" i="17"/>
  <c r="N9" i="17" s="1"/>
  <c r="N16" i="17" s="1"/>
  <c r="Q11" i="17" s="1"/>
  <c r="Q10" i="17"/>
  <c r="Q119" i="17"/>
  <c r="L118" i="17"/>
  <c r="N118" i="17" s="1"/>
  <c r="N125" i="17" s="1"/>
  <c r="Q120" i="17" s="1"/>
  <c r="Q58" i="17"/>
  <c r="L57" i="17"/>
  <c r="N57" i="17" s="1"/>
  <c r="N61" i="17" s="1"/>
  <c r="Q59" i="17" s="1"/>
  <c r="D9" i="15"/>
  <c r="J9" i="15"/>
  <c r="K9" i="15" s="1"/>
  <c r="D5" i="15"/>
  <c r="J5" i="15"/>
  <c r="K5" i="15" s="1"/>
  <c r="D6" i="15"/>
  <c r="J6" i="15"/>
  <c r="K6" i="15" s="1"/>
  <c r="D7" i="15"/>
  <c r="J7" i="15"/>
  <c r="K7" i="15" s="1"/>
  <c r="D8" i="15"/>
  <c r="J8" i="15"/>
  <c r="K8" i="15" s="1"/>
  <c r="D4" i="15"/>
  <c r="J4" i="15"/>
  <c r="K4" i="15" s="1"/>
  <c r="Q86" i="17" l="1"/>
  <c r="L85" i="17"/>
  <c r="N85" i="17" s="1"/>
  <c r="N91" i="17" s="1"/>
  <c r="Q87" i="17" s="1"/>
  <c r="K10" i="15"/>
  <c r="K19" i="15" s="1"/>
  <c r="D19" i="15"/>
  <c r="A52" i="8" l="1"/>
  <c r="A49" i="8"/>
  <c r="D18" i="8" l="1"/>
  <c r="H41" i="8" l="1"/>
  <c r="D42" i="8"/>
  <c r="H40" i="8"/>
  <c r="D41" i="8"/>
  <c r="H39" i="8"/>
  <c r="D40" i="8"/>
  <c r="H38" i="8"/>
  <c r="D39" i="8"/>
  <c r="H37" i="8"/>
  <c r="D38" i="8"/>
  <c r="H36" i="8"/>
  <c r="D37" i="8"/>
  <c r="H35" i="8"/>
  <c r="D36" i="8"/>
  <c r="H34" i="8"/>
  <c r="D35" i="8"/>
  <c r="D34" i="8" l="1"/>
  <c r="H32" i="8"/>
  <c r="D33" i="8"/>
  <c r="H31" i="8"/>
  <c r="D32" i="8"/>
  <c r="H30" i="8"/>
  <c r="D31" i="8"/>
  <c r="H29" i="8"/>
  <c r="D30" i="8"/>
  <c r="H28" i="8"/>
  <c r="D29" i="8"/>
  <c r="H27" i="8"/>
  <c r="D28" i="8"/>
  <c r="C85" i="11"/>
  <c r="D479" i="10"/>
  <c r="G75" i="11"/>
  <c r="C75" i="11"/>
  <c r="G74" i="11"/>
  <c r="C74" i="11"/>
  <c r="G73" i="11"/>
  <c r="H73" i="11" s="1"/>
  <c r="D478" i="10" s="1"/>
  <c r="C73" i="11"/>
  <c r="D73" i="11" s="1"/>
  <c r="D477" i="10" s="1"/>
  <c r="H72" i="11"/>
  <c r="D72" i="11"/>
  <c r="G66" i="11"/>
  <c r="C66" i="11"/>
  <c r="C65" i="11"/>
  <c r="G64" i="11"/>
  <c r="H64" i="11" s="1"/>
  <c r="D476" i="10" s="1"/>
  <c r="C64" i="11"/>
  <c r="D64" i="11" s="1"/>
  <c r="H63" i="11"/>
  <c r="D63" i="11"/>
  <c r="G57" i="11"/>
  <c r="C57" i="11"/>
  <c r="G55" i="11"/>
  <c r="H55" i="11" s="1"/>
  <c r="D475" i="10" s="1"/>
  <c r="C55" i="11"/>
  <c r="D55" i="11" s="1"/>
  <c r="D473" i="10" s="1"/>
  <c r="H54" i="11"/>
  <c r="D54" i="11"/>
  <c r="B39" i="11"/>
  <c r="B40" i="11" s="1"/>
  <c r="H28" i="11"/>
  <c r="H29" i="11" s="1"/>
  <c r="B28" i="11"/>
  <c r="B29" i="11" s="1"/>
  <c r="B30" i="11" s="1"/>
  <c r="H17" i="11"/>
  <c r="H18" i="11" s="1"/>
  <c r="B17" i="11"/>
  <c r="B18" i="11" s="1"/>
  <c r="B19" i="11" s="1"/>
  <c r="D10" i="11"/>
  <c r="E10" i="11" s="1"/>
  <c r="H7" i="11"/>
  <c r="H8" i="11" s="1"/>
  <c r="B7" i="11"/>
  <c r="B8" i="11" s="1"/>
  <c r="B10" i="11" s="1"/>
  <c r="B11" i="11" s="1"/>
  <c r="D65" i="11" l="1"/>
  <c r="D474" i="10"/>
  <c r="E472" i="10" s="1"/>
  <c r="A68" i="8" s="1"/>
  <c r="H74" i="11"/>
  <c r="D43" i="8"/>
  <c r="H10" i="11"/>
  <c r="H9" i="11"/>
  <c r="H21" i="11"/>
  <c r="H19" i="11"/>
  <c r="C30" i="11"/>
  <c r="C29" i="11"/>
  <c r="D30" i="11" s="1"/>
  <c r="C25" i="11" s="1"/>
  <c r="C19" i="11"/>
  <c r="C18" i="11"/>
  <c r="H31" i="11"/>
  <c r="H30" i="11"/>
  <c r="B42" i="11"/>
  <c r="B41" i="11"/>
  <c r="B9" i="11"/>
  <c r="D7" i="11"/>
  <c r="E8" i="11" s="1"/>
  <c r="B20" i="11"/>
  <c r="B31" i="11"/>
  <c r="D19" i="11" l="1"/>
  <c r="C14" i="11" s="1"/>
  <c r="C40" i="11"/>
  <c r="C41" i="11"/>
  <c r="I18" i="11"/>
  <c r="I19" i="11"/>
  <c r="C9" i="11"/>
  <c r="C8" i="11"/>
  <c r="I29" i="11"/>
  <c r="I30" i="11"/>
  <c r="I8" i="11"/>
  <c r="I9" i="11"/>
  <c r="J30" i="11" l="1"/>
  <c r="I25" i="11" s="1"/>
  <c r="J19" i="11"/>
  <c r="J14" i="11" s="1"/>
  <c r="J9" i="11"/>
  <c r="J4" i="11" s="1"/>
  <c r="D9" i="11"/>
  <c r="C4" i="11" s="1"/>
  <c r="D41" i="11"/>
  <c r="C36" i="11" s="1"/>
  <c r="I6" i="10" l="1"/>
  <c r="J228" i="6" l="1"/>
  <c r="J237" i="6" s="1"/>
  <c r="Q229" i="6" l="1"/>
  <c r="L228" i="6"/>
  <c r="N228" i="6" s="1"/>
  <c r="N237" i="6" s="1"/>
  <c r="Q230" i="6" s="1"/>
  <c r="E217" i="6"/>
  <c r="E216" i="6"/>
  <c r="E215" i="6"/>
  <c r="J214" i="6"/>
  <c r="J218" i="6" s="1"/>
  <c r="Q215" i="6" l="1"/>
  <c r="L214" i="6"/>
  <c r="N214" i="6" s="1"/>
  <c r="N218" i="6" s="1"/>
  <c r="Q216" i="6" s="1"/>
  <c r="J195" i="6" l="1"/>
  <c r="J203" i="6" s="1"/>
  <c r="J180" i="6"/>
  <c r="J184" i="6" s="1"/>
  <c r="Q181" i="6" s="1"/>
  <c r="J127" i="6"/>
  <c r="Q196" i="6" l="1"/>
  <c r="L195" i="6"/>
  <c r="N195" i="6" s="1"/>
  <c r="N203" i="6" s="1"/>
  <c r="Q197" i="6" s="1"/>
  <c r="L180" i="6"/>
  <c r="N180" i="6" s="1"/>
  <c r="N184" i="6" s="1"/>
  <c r="Q182" i="6" s="1"/>
  <c r="E165" i="6"/>
  <c r="E164" i="6"/>
  <c r="E163" i="6"/>
  <c r="J162" i="6"/>
  <c r="J166" i="6" s="1"/>
  <c r="Q163" i="6" l="1"/>
  <c r="L162" i="6"/>
  <c r="N162" i="6" s="1"/>
  <c r="N166" i="6" s="1"/>
  <c r="Q164" i="6" s="1"/>
  <c r="J140" i="6" l="1"/>
  <c r="J149" i="6" s="1"/>
  <c r="L140" i="6" s="1"/>
  <c r="N140" i="6" s="1"/>
  <c r="N149" i="6" s="1"/>
  <c r="Q142" i="6" s="1"/>
  <c r="Q141" i="6" l="1"/>
  <c r="E129" i="6"/>
  <c r="J130" i="6"/>
  <c r="L127" i="6" s="1"/>
  <c r="F220" i="10"/>
  <c r="H33" i="8" s="1"/>
  <c r="H42" i="8" s="1"/>
  <c r="J108" i="6"/>
  <c r="J116" i="6" s="1"/>
  <c r="L108" i="6" s="1"/>
  <c r="N108" i="6" s="1"/>
  <c r="J94" i="6"/>
  <c r="J97" i="6" s="1"/>
  <c r="Q95" i="6" s="1"/>
  <c r="L94" i="6" l="1"/>
  <c r="N94" i="6" s="1"/>
  <c r="N97" i="6" s="1"/>
  <c r="Q96" i="6" s="1"/>
  <c r="Q128" i="6"/>
  <c r="N127" i="6"/>
  <c r="N130" i="6" s="1"/>
  <c r="Q129" i="6" s="1"/>
  <c r="Q109" i="6"/>
  <c r="N116" i="6"/>
  <c r="Q110" i="6" s="1"/>
  <c r="J74" i="6"/>
  <c r="J81" i="6" s="1"/>
  <c r="Q75" i="6" s="1"/>
  <c r="J56" i="6"/>
  <c r="J64" i="6" s="1"/>
  <c r="Q57" i="6" s="1"/>
  <c r="E99" i="10"/>
  <c r="D59" i="8" s="1"/>
  <c r="E95" i="10"/>
  <c r="F91" i="10"/>
  <c r="H57" i="8" s="1"/>
  <c r="E90" i="10"/>
  <c r="D58" i="8" s="1"/>
  <c r="A65" i="8" l="1"/>
  <c r="F100" i="10"/>
  <c r="E29" i="8" s="1"/>
  <c r="L56" i="6"/>
  <c r="N56" i="6" s="1"/>
  <c r="N64" i="6" s="1"/>
  <c r="Q58" i="6" s="1"/>
  <c r="F92" i="10"/>
  <c r="E28" i="8" s="1"/>
  <c r="L74" i="6"/>
  <c r="N74" i="6" s="1"/>
  <c r="N81" i="6" s="1"/>
  <c r="Q76" i="6" s="1"/>
  <c r="J39" i="6" l="1"/>
  <c r="J46" i="6" s="1"/>
  <c r="Q40" i="6" l="1"/>
  <c r="L39" i="6"/>
  <c r="N39" i="6" s="1"/>
  <c r="N46" i="6" s="1"/>
  <c r="Q41" i="6" s="1"/>
  <c r="J25" i="6"/>
  <c r="J28" i="6" s="1"/>
  <c r="L25" i="6" s="1"/>
  <c r="N25" i="6" s="1"/>
  <c r="N28" i="6" s="1"/>
  <c r="Q27" i="6" s="1"/>
  <c r="F29" i="10"/>
  <c r="K57" i="8" s="1"/>
  <c r="E28" i="10"/>
  <c r="D57" i="8" s="1"/>
  <c r="Q26" i="6" l="1"/>
  <c r="F30" i="10"/>
  <c r="F31" i="10" l="1"/>
  <c r="E27" i="8" s="1"/>
  <c r="E66" i="8"/>
  <c r="J15" i="6"/>
  <c r="Q12" i="6" l="1"/>
  <c r="L11" i="6"/>
  <c r="N11" i="6" s="1"/>
  <c r="N15" i="6" s="1"/>
  <c r="K9" i="1"/>
  <c r="Q13" i="6" l="1"/>
  <c r="J9" i="1"/>
  <c r="D54" i="1"/>
  <c r="D15" i="9" l="1"/>
  <c r="D16" i="9"/>
  <c r="D17" i="9"/>
  <c r="D18" i="9"/>
  <c r="D14" i="9"/>
  <c r="G22" i="7"/>
  <c r="E22" i="7"/>
  <c r="E14" i="7"/>
  <c r="E15" i="7"/>
  <c r="E16" i="7"/>
  <c r="E17" i="7"/>
  <c r="E13" i="7"/>
  <c r="E8" i="7"/>
  <c r="E7" i="7"/>
  <c r="F7" i="7" s="1"/>
  <c r="E9" i="7" l="1"/>
  <c r="D18" i="7"/>
  <c r="G14" i="7"/>
  <c r="G15" i="7"/>
  <c r="G16" i="7"/>
  <c r="G17" i="7"/>
  <c r="G13" i="7"/>
  <c r="D25" i="9" l="1"/>
  <c r="C25" i="9"/>
  <c r="C15" i="9"/>
  <c r="C16" i="9"/>
  <c r="C17" i="9"/>
  <c r="C18" i="9"/>
  <c r="C14" i="9"/>
  <c r="G6" i="9"/>
  <c r="E25" i="9" l="1"/>
  <c r="F17" i="9"/>
  <c r="H17" i="9"/>
  <c r="H18" i="9"/>
  <c r="E18" i="9"/>
  <c r="H25" i="9"/>
  <c r="F25" i="9"/>
  <c r="H16" i="9"/>
  <c r="H15" i="9"/>
  <c r="H14" i="9"/>
  <c r="D19" i="9"/>
  <c r="C26" i="9"/>
  <c r="E17" i="9"/>
  <c r="E16" i="9"/>
  <c r="E15" i="9"/>
  <c r="E14" i="9"/>
  <c r="F16" i="9"/>
  <c r="C19" i="9"/>
  <c r="F14" i="9"/>
  <c r="F15" i="9"/>
  <c r="F18" i="9"/>
  <c r="D7" i="9"/>
  <c r="C7" i="9"/>
  <c r="D6" i="9"/>
  <c r="E6" i="9" s="1"/>
  <c r="D5" i="9"/>
  <c r="C5" i="9"/>
  <c r="F6" i="9" l="1"/>
  <c r="H6" i="9"/>
  <c r="C8" i="9"/>
  <c r="C28" i="9" s="1"/>
  <c r="F7" i="9"/>
  <c r="H7" i="9"/>
  <c r="E7" i="9"/>
  <c r="I7" i="9" s="1"/>
  <c r="H26" i="9"/>
  <c r="D468" i="10" s="1"/>
  <c r="G25" i="9"/>
  <c r="I25" i="9" s="1"/>
  <c r="E26" i="9"/>
  <c r="D465" i="10" s="1"/>
  <c r="D26" i="9"/>
  <c r="G15" i="9"/>
  <c r="G16" i="9"/>
  <c r="G17" i="9"/>
  <c r="G18" i="9"/>
  <c r="G14" i="9"/>
  <c r="I14" i="9" s="1"/>
  <c r="G7" i="9"/>
  <c r="I6" i="9" l="1"/>
  <c r="I15" i="9"/>
  <c r="I26" i="9"/>
  <c r="I17" i="9"/>
  <c r="I16" i="9"/>
  <c r="G26" i="9"/>
  <c r="D467" i="10" s="1"/>
  <c r="F26" i="9"/>
  <c r="D466" i="10" s="1"/>
  <c r="F19" i="9"/>
  <c r="D461" i="10" s="1"/>
  <c r="E19" i="9"/>
  <c r="D460" i="10" s="1"/>
  <c r="G19" i="9"/>
  <c r="D462" i="10" s="1"/>
  <c r="H19" i="9"/>
  <c r="D463" i="10" s="1"/>
  <c r="E464" i="10" l="1"/>
  <c r="A67" i="8" s="1"/>
  <c r="E459" i="10"/>
  <c r="A19" i="8" s="1"/>
  <c r="I18" i="9"/>
  <c r="I19" i="9" s="1"/>
  <c r="K18" i="7" l="1"/>
  <c r="K25" i="7" s="1"/>
  <c r="F444" i="10" s="1"/>
  <c r="H90" i="8" s="1"/>
  <c r="I18" i="7"/>
  <c r="H18" i="7"/>
  <c r="I23" i="7"/>
  <c r="H23" i="7"/>
  <c r="J22" i="7"/>
  <c r="I9" i="7"/>
  <c r="H9" i="7"/>
  <c r="G7" i="7"/>
  <c r="F15" i="7"/>
  <c r="F16" i="7"/>
  <c r="G8" i="7"/>
  <c r="J8" i="7"/>
  <c r="J13" i="7" l="1"/>
  <c r="L13" i="7" s="1"/>
  <c r="F13" i="7"/>
  <c r="J17" i="7"/>
  <c r="L17" i="7" s="1"/>
  <c r="F17" i="7"/>
  <c r="J14" i="7"/>
  <c r="L14" i="7" s="1"/>
  <c r="F14" i="7"/>
  <c r="L8" i="7"/>
  <c r="I25" i="7"/>
  <c r="F442" i="10" s="1"/>
  <c r="B90" i="8" s="1"/>
  <c r="L22" i="7"/>
  <c r="J7" i="7"/>
  <c r="L7" i="7" s="1"/>
  <c r="G8" i="9"/>
  <c r="D457" i="10" s="1"/>
  <c r="G18" i="7"/>
  <c r="H25" i="7"/>
  <c r="F441" i="10" s="1"/>
  <c r="K48" i="8" s="1"/>
  <c r="F22" i="7"/>
  <c r="E18" i="7"/>
  <c r="G9" i="7"/>
  <c r="J16" i="7"/>
  <c r="L16" i="7" s="1"/>
  <c r="M16" i="7" s="1"/>
  <c r="J15" i="7"/>
  <c r="F8" i="7"/>
  <c r="G28" i="9" l="1"/>
  <c r="M14" i="7"/>
  <c r="M13" i="7"/>
  <c r="F18" i="7"/>
  <c r="J9" i="7"/>
  <c r="L9" i="7" s="1"/>
  <c r="M17" i="7"/>
  <c r="M22" i="7"/>
  <c r="M8" i="7"/>
  <c r="J18" i="7"/>
  <c r="L18" i="7" s="1"/>
  <c r="L15" i="7"/>
  <c r="M15" i="7" s="1"/>
  <c r="M7" i="7"/>
  <c r="E507" i="10" l="1"/>
  <c r="A69" i="8" s="1"/>
  <c r="F508" i="10"/>
  <c r="B18" i="8" s="1"/>
  <c r="E449" i="10"/>
  <c r="A18" i="8" s="1"/>
  <c r="M18" i="7"/>
  <c r="D8" i="9"/>
  <c r="D28" i="9" s="1"/>
  <c r="H8" i="9"/>
  <c r="D458" i="10" l="1"/>
  <c r="H28" i="9"/>
  <c r="E8" i="9"/>
  <c r="D455" i="10" s="1"/>
  <c r="F8" i="9"/>
  <c r="D456" i="10" s="1"/>
  <c r="C23" i="7"/>
  <c r="F23" i="7"/>
  <c r="E450" i="10" s="1"/>
  <c r="D23" i="7"/>
  <c r="D25" i="7" s="1"/>
  <c r="D438" i="10" s="1"/>
  <c r="C18" i="7"/>
  <c r="C9" i="7"/>
  <c r="F9" i="7"/>
  <c r="E448" i="10" s="1"/>
  <c r="J90" i="8" s="1"/>
  <c r="D9" i="7"/>
  <c r="A66" i="8" l="1"/>
  <c r="E454" i="10"/>
  <c r="I8" i="9"/>
  <c r="F451" i="10"/>
  <c r="E48" i="8" s="1"/>
  <c r="E28" i="9"/>
  <c r="F28" i="9"/>
  <c r="I28" i="9"/>
  <c r="M9" i="7"/>
  <c r="F25" i="7"/>
  <c r="G23" i="7"/>
  <c r="G25" i="7" s="1"/>
  <c r="F440" i="10" s="1"/>
  <c r="H48" i="8" s="1"/>
  <c r="C25" i="7"/>
  <c r="D437" i="10" s="1"/>
  <c r="F469" i="10" l="1"/>
  <c r="E32" i="8" s="1"/>
  <c r="J91" i="8"/>
  <c r="E23" i="7"/>
  <c r="E25" i="7" s="1"/>
  <c r="D439" i="10" s="1"/>
  <c r="F443" i="10" s="1"/>
  <c r="E90" i="8" s="1"/>
  <c r="J23" i="7"/>
  <c r="E436" i="10" l="1"/>
  <c r="J25" i="7"/>
  <c r="L23" i="7"/>
  <c r="L25" i="7" s="1"/>
  <c r="M25" i="7" s="1"/>
  <c r="M23" i="7"/>
  <c r="F445" i="10" l="1"/>
  <c r="E31" i="8" s="1"/>
  <c r="E43" i="8" s="1"/>
  <c r="D48" i="8"/>
  <c r="E27" i="6"/>
  <c r="D532" i="2" l="1"/>
  <c r="D560" i="2"/>
  <c r="E96" i="6" l="1"/>
  <c r="E95" i="6"/>
  <c r="E12" i="6"/>
  <c r="E14" i="6"/>
  <c r="E13" i="6"/>
  <c r="D220" i="4" l="1"/>
  <c r="K549" i="3"/>
  <c r="I549" i="3"/>
  <c r="I550" i="3" s="1"/>
  <c r="D549" i="3"/>
  <c r="K536" i="3"/>
  <c r="I536" i="3"/>
  <c r="I537" i="3" s="1"/>
  <c r="D536" i="3"/>
  <c r="J536" i="3" l="1"/>
  <c r="G537" i="3" s="1"/>
  <c r="J549" i="3"/>
  <c r="G550" i="3" s="1"/>
  <c r="K412" i="4"/>
  <c r="I412" i="4"/>
  <c r="I413" i="4" s="1"/>
  <c r="D412" i="4"/>
  <c r="K399" i="4"/>
  <c r="I399" i="4"/>
  <c r="I400" i="4" s="1"/>
  <c r="D399" i="4"/>
  <c r="K387" i="4"/>
  <c r="I387" i="4"/>
  <c r="I388" i="4" s="1"/>
  <c r="D387" i="4"/>
  <c r="K373" i="4"/>
  <c r="I373" i="4"/>
  <c r="I374" i="4" s="1"/>
  <c r="D373" i="4"/>
  <c r="K360" i="4"/>
  <c r="I360" i="4"/>
  <c r="I361" i="4" s="1"/>
  <c r="D360" i="4"/>
  <c r="K347" i="4"/>
  <c r="I347" i="4"/>
  <c r="I348" i="4" s="1"/>
  <c r="D347" i="4"/>
  <c r="K333" i="4"/>
  <c r="I333" i="4"/>
  <c r="I334" i="4" s="1"/>
  <c r="D333" i="4"/>
  <c r="K320" i="4"/>
  <c r="I320" i="4"/>
  <c r="I321" i="4" s="1"/>
  <c r="D320" i="4"/>
  <c r="K306" i="4"/>
  <c r="I306" i="4"/>
  <c r="I307" i="4" s="1"/>
  <c r="D306" i="4"/>
  <c r="K292" i="4"/>
  <c r="I292" i="4"/>
  <c r="I293" i="4" s="1"/>
  <c r="I294" i="4" s="1"/>
  <c r="D292" i="4"/>
  <c r="K279" i="4"/>
  <c r="I279" i="4"/>
  <c r="I280" i="4" s="1"/>
  <c r="D279" i="4"/>
  <c r="K264" i="4"/>
  <c r="I264" i="4"/>
  <c r="I265" i="4" s="1"/>
  <c r="D264" i="4"/>
  <c r="K251" i="4"/>
  <c r="I251" i="4"/>
  <c r="I252" i="4" s="1"/>
  <c r="D251" i="4"/>
  <c r="K238" i="4"/>
  <c r="I238" i="4"/>
  <c r="I239" i="4" s="1"/>
  <c r="D238" i="4"/>
  <c r="K220" i="4"/>
  <c r="I220" i="4"/>
  <c r="I221" i="4" s="1"/>
  <c r="I222" i="4" s="1"/>
  <c r="I223" i="4" s="1"/>
  <c r="I224" i="4" s="1"/>
  <c r="I225" i="4" s="1"/>
  <c r="K200" i="4"/>
  <c r="I200" i="4"/>
  <c r="I201" i="4" s="1"/>
  <c r="I202" i="4" s="1"/>
  <c r="I203" i="4" s="1"/>
  <c r="I204" i="4" s="1"/>
  <c r="I205" i="4" s="1"/>
  <c r="I206" i="4" s="1"/>
  <c r="I207" i="4" s="1"/>
  <c r="D200" i="4"/>
  <c r="K187" i="4"/>
  <c r="I187" i="4"/>
  <c r="I188" i="4" s="1"/>
  <c r="I189" i="4" s="1"/>
  <c r="D187" i="4"/>
  <c r="H550" i="3" l="1"/>
  <c r="K550" i="3" s="1"/>
  <c r="J550" i="3" s="1"/>
  <c r="D576" i="17"/>
  <c r="E576" i="17" s="1"/>
  <c r="H537" i="3"/>
  <c r="K537" i="3" s="1"/>
  <c r="J537" i="3" s="1"/>
  <c r="D575" i="17"/>
  <c r="E575" i="17" s="1"/>
  <c r="J347" i="4"/>
  <c r="G348" i="4" s="1"/>
  <c r="J333" i="4"/>
  <c r="G334" i="4" s="1"/>
  <c r="J387" i="4"/>
  <c r="G388" i="4" s="1"/>
  <c r="J360" i="4"/>
  <c r="G361" i="4" s="1"/>
  <c r="H361" i="4" s="1"/>
  <c r="D403" i="17" s="1"/>
  <c r="E403" i="17" s="1"/>
  <c r="J412" i="4"/>
  <c r="G413" i="4" s="1"/>
  <c r="J320" i="4"/>
  <c r="G321" i="4" s="1"/>
  <c r="J373" i="4"/>
  <c r="G374" i="4" s="1"/>
  <c r="J251" i="4"/>
  <c r="G252" i="4" s="1"/>
  <c r="J220" i="4"/>
  <c r="J399" i="4"/>
  <c r="G400" i="4" s="1"/>
  <c r="J306" i="4"/>
  <c r="G307" i="4" s="1"/>
  <c r="J292" i="4"/>
  <c r="G293" i="4" s="1"/>
  <c r="J279" i="4"/>
  <c r="G280" i="4" s="1"/>
  <c r="J264" i="4"/>
  <c r="G265" i="4" s="1"/>
  <c r="J238" i="4"/>
  <c r="G239" i="4" s="1"/>
  <c r="J200" i="4"/>
  <c r="J187" i="4"/>
  <c r="G188" i="4" s="1"/>
  <c r="K174" i="4"/>
  <c r="I174" i="4"/>
  <c r="I175" i="4" s="1"/>
  <c r="D174" i="4"/>
  <c r="K158" i="4"/>
  <c r="I158" i="4"/>
  <c r="I159" i="4" s="1"/>
  <c r="D158" i="4"/>
  <c r="K143" i="4"/>
  <c r="I143" i="4"/>
  <c r="I144" i="4" s="1"/>
  <c r="D143" i="4"/>
  <c r="K130" i="4"/>
  <c r="I130" i="4"/>
  <c r="I131" i="4" s="1"/>
  <c r="D130" i="4"/>
  <c r="K117" i="4"/>
  <c r="I117" i="4"/>
  <c r="I118" i="4" s="1"/>
  <c r="D117" i="4"/>
  <c r="K103" i="4"/>
  <c r="I103" i="4"/>
  <c r="I104" i="4" s="1"/>
  <c r="D103" i="4"/>
  <c r="K88" i="4"/>
  <c r="I88" i="4"/>
  <c r="I89" i="4" s="1"/>
  <c r="D88" i="4"/>
  <c r="K75" i="4"/>
  <c r="I75" i="4"/>
  <c r="I76" i="4" s="1"/>
  <c r="D75" i="4"/>
  <c r="K63" i="4"/>
  <c r="I63" i="4"/>
  <c r="I64" i="4" s="1"/>
  <c r="D63" i="4"/>
  <c r="K50" i="4"/>
  <c r="I50" i="4"/>
  <c r="I51" i="4" s="1"/>
  <c r="D50" i="4"/>
  <c r="K37" i="4"/>
  <c r="I37" i="4"/>
  <c r="I38" i="4" s="1"/>
  <c r="D37" i="4"/>
  <c r="K22" i="4"/>
  <c r="I22" i="4"/>
  <c r="I23" i="4" s="1"/>
  <c r="I24" i="4" s="1"/>
  <c r="I25" i="4" s="1"/>
  <c r="I26" i="4" s="1"/>
  <c r="D22" i="4"/>
  <c r="K9" i="4"/>
  <c r="I9" i="4"/>
  <c r="I10" i="4" s="1"/>
  <c r="D9" i="4"/>
  <c r="K521" i="3"/>
  <c r="I521" i="3"/>
  <c r="I522" i="3" s="1"/>
  <c r="D521" i="3"/>
  <c r="K508" i="3"/>
  <c r="I508" i="3"/>
  <c r="I509" i="3" s="1"/>
  <c r="D508" i="3"/>
  <c r="K495" i="3"/>
  <c r="I495" i="3"/>
  <c r="I496" i="3" s="1"/>
  <c r="D495" i="3"/>
  <c r="K482" i="3"/>
  <c r="K483" i="3" s="1"/>
  <c r="I482" i="3"/>
  <c r="I483" i="3" s="1"/>
  <c r="D482" i="3"/>
  <c r="K469" i="3"/>
  <c r="I469" i="3"/>
  <c r="I470" i="3" s="1"/>
  <c r="D469" i="3"/>
  <c r="K456" i="3"/>
  <c r="I456" i="3"/>
  <c r="I457" i="3" s="1"/>
  <c r="D456" i="3"/>
  <c r="K443" i="3"/>
  <c r="I443" i="3"/>
  <c r="I444" i="3" s="1"/>
  <c r="D443" i="3"/>
  <c r="K429" i="3"/>
  <c r="I429" i="3"/>
  <c r="I430" i="3" s="1"/>
  <c r="D429" i="3"/>
  <c r="K415" i="3"/>
  <c r="I415" i="3"/>
  <c r="I416" i="3" s="1"/>
  <c r="I417" i="3" s="1"/>
  <c r="D415" i="3"/>
  <c r="K401" i="3"/>
  <c r="I401" i="3"/>
  <c r="I402" i="3" s="1"/>
  <c r="I403" i="3" s="1"/>
  <c r="D401" i="3"/>
  <c r="K387" i="3"/>
  <c r="I387" i="3"/>
  <c r="I388" i="3" s="1"/>
  <c r="I389" i="3" s="1"/>
  <c r="D387" i="3"/>
  <c r="K369" i="3"/>
  <c r="I369" i="3"/>
  <c r="I370" i="3" s="1"/>
  <c r="I371" i="3" s="1"/>
  <c r="I372" i="3" s="1"/>
  <c r="I373" i="3" s="1"/>
  <c r="D369" i="3"/>
  <c r="K352" i="3"/>
  <c r="I352" i="3"/>
  <c r="I353" i="3" s="1"/>
  <c r="I354" i="3" s="1"/>
  <c r="I355" i="3" s="1"/>
  <c r="D352" i="3"/>
  <c r="K337" i="3"/>
  <c r="I337" i="3"/>
  <c r="I338" i="3" s="1"/>
  <c r="I339" i="3" s="1"/>
  <c r="I340" i="3" s="1"/>
  <c r="D337" i="3"/>
  <c r="K322" i="3"/>
  <c r="I322" i="3"/>
  <c r="I323" i="3" s="1"/>
  <c r="I324" i="3" s="1"/>
  <c r="I325" i="3" s="1"/>
  <c r="D322" i="3"/>
  <c r="K308" i="3"/>
  <c r="I308" i="3"/>
  <c r="I309" i="3" s="1"/>
  <c r="I310" i="3" s="1"/>
  <c r="I311" i="3" s="1"/>
  <c r="D308" i="3"/>
  <c r="K295" i="3"/>
  <c r="I295" i="3"/>
  <c r="I296" i="3" s="1"/>
  <c r="I297" i="3" s="1"/>
  <c r="I298" i="3" s="1"/>
  <c r="D295" i="3"/>
  <c r="K276" i="3"/>
  <c r="I276" i="3"/>
  <c r="I277" i="3" s="1"/>
  <c r="I278" i="3" s="1"/>
  <c r="I279" i="3" s="1"/>
  <c r="D276" i="3"/>
  <c r="K262" i="3"/>
  <c r="I262" i="3"/>
  <c r="I263" i="3" s="1"/>
  <c r="I264" i="3" s="1"/>
  <c r="I265" i="3" s="1"/>
  <c r="D262" i="3"/>
  <c r="K250" i="3"/>
  <c r="I250" i="3"/>
  <c r="I251" i="3" s="1"/>
  <c r="D250" i="3"/>
  <c r="K236" i="3"/>
  <c r="I236" i="3"/>
  <c r="I237" i="3" s="1"/>
  <c r="D236" i="3"/>
  <c r="K223" i="3"/>
  <c r="I223" i="3"/>
  <c r="I224" i="3" s="1"/>
  <c r="D223" i="3"/>
  <c r="K209" i="3"/>
  <c r="I209" i="3"/>
  <c r="I210" i="3" s="1"/>
  <c r="D209" i="3"/>
  <c r="K196" i="3"/>
  <c r="I196" i="3"/>
  <c r="I197" i="3" s="1"/>
  <c r="D196" i="3"/>
  <c r="K183" i="3"/>
  <c r="I183" i="3"/>
  <c r="I184" i="3" s="1"/>
  <c r="D183" i="3"/>
  <c r="K169" i="3"/>
  <c r="I169" i="3"/>
  <c r="I170" i="3" s="1"/>
  <c r="D169" i="3"/>
  <c r="K154" i="3"/>
  <c r="I154" i="3"/>
  <c r="I155" i="3" s="1"/>
  <c r="D154" i="3"/>
  <c r="K141" i="3"/>
  <c r="I141" i="3"/>
  <c r="I142" i="3" s="1"/>
  <c r="D141" i="3"/>
  <c r="K127" i="3"/>
  <c r="I127" i="3"/>
  <c r="I128" i="3" s="1"/>
  <c r="D127" i="3"/>
  <c r="K113" i="3"/>
  <c r="I113" i="3"/>
  <c r="I114" i="3" s="1"/>
  <c r="I115" i="3" s="1"/>
  <c r="I116" i="3" s="1"/>
  <c r="D113" i="3"/>
  <c r="K100" i="3"/>
  <c r="I100" i="3"/>
  <c r="I101" i="3" s="1"/>
  <c r="D100" i="3"/>
  <c r="K86" i="3"/>
  <c r="I86" i="3"/>
  <c r="I87" i="3" s="1"/>
  <c r="D86" i="3"/>
  <c r="K73" i="3"/>
  <c r="I73" i="3"/>
  <c r="I74" i="3" s="1"/>
  <c r="D73" i="3"/>
  <c r="K60" i="3"/>
  <c r="I60" i="3"/>
  <c r="I61" i="3" s="1"/>
  <c r="D60" i="3"/>
  <c r="K47" i="3"/>
  <c r="I47" i="3"/>
  <c r="I48" i="3" s="1"/>
  <c r="D47" i="3"/>
  <c r="K34" i="3"/>
  <c r="I34" i="3"/>
  <c r="D34" i="3"/>
  <c r="K21" i="3"/>
  <c r="I21" i="3"/>
  <c r="I22" i="3" s="1"/>
  <c r="D21" i="3"/>
  <c r="K8" i="3"/>
  <c r="I8" i="3"/>
  <c r="I9" i="3" s="1"/>
  <c r="D8" i="3"/>
  <c r="K560" i="2"/>
  <c r="I560" i="2"/>
  <c r="I561" i="2" s="1"/>
  <c r="K546" i="2"/>
  <c r="I546" i="2"/>
  <c r="I547" i="2" s="1"/>
  <c r="D546" i="2"/>
  <c r="K532" i="2"/>
  <c r="I532" i="2"/>
  <c r="I533" i="2" s="1"/>
  <c r="K518" i="2"/>
  <c r="I518" i="2"/>
  <c r="I519" i="2" s="1"/>
  <c r="D518" i="2"/>
  <c r="K505" i="2"/>
  <c r="I505" i="2"/>
  <c r="I506" i="2" s="1"/>
  <c r="D505" i="2"/>
  <c r="K492" i="2"/>
  <c r="I492" i="2"/>
  <c r="I493" i="2" s="1"/>
  <c r="D492" i="2"/>
  <c r="K478" i="2"/>
  <c r="I478" i="2"/>
  <c r="I479" i="2" s="1"/>
  <c r="D478" i="2"/>
  <c r="K464" i="2"/>
  <c r="I464" i="2"/>
  <c r="I465" i="2" s="1"/>
  <c r="D464" i="2"/>
  <c r="K450" i="2"/>
  <c r="D450" i="2"/>
  <c r="K428" i="2"/>
  <c r="I428" i="2"/>
  <c r="I429" i="2" s="1"/>
  <c r="I430" i="2" s="1"/>
  <c r="I431" i="2" s="1"/>
  <c r="I432" i="2" s="1"/>
  <c r="I433" i="2" s="1"/>
  <c r="I434" i="2" s="1"/>
  <c r="I435" i="2" s="1"/>
  <c r="D428" i="2"/>
  <c r="K415" i="2"/>
  <c r="I415" i="2"/>
  <c r="I416" i="2" s="1"/>
  <c r="I417" i="2" s="1"/>
  <c r="D415" i="2"/>
  <c r="K393" i="2"/>
  <c r="I393" i="2"/>
  <c r="I394" i="2" s="1"/>
  <c r="I395" i="2" s="1"/>
  <c r="I396" i="2" s="1"/>
  <c r="I397" i="2" s="1"/>
  <c r="I398" i="2" s="1"/>
  <c r="I399" i="2" s="1"/>
  <c r="I400" i="2" s="1"/>
  <c r="I401" i="2" s="1"/>
  <c r="I402" i="2" s="1"/>
  <c r="I403" i="2" s="1"/>
  <c r="I404" i="2" s="1"/>
  <c r="D393" i="2"/>
  <c r="D368" i="2"/>
  <c r="K368" i="2"/>
  <c r="I368" i="2"/>
  <c r="I369" i="2" s="1"/>
  <c r="I370" i="2" s="1"/>
  <c r="I371" i="2" s="1"/>
  <c r="I372" i="2" s="1"/>
  <c r="I373" i="2" s="1"/>
  <c r="I374" i="2" s="1"/>
  <c r="I375" i="2" s="1"/>
  <c r="I376" i="2" s="1"/>
  <c r="I377" i="2" s="1"/>
  <c r="I378" i="2" s="1"/>
  <c r="I379" i="2" s="1"/>
  <c r="K346" i="2"/>
  <c r="I346" i="2"/>
  <c r="I347" i="2" s="1"/>
  <c r="I348" i="2" s="1"/>
  <c r="I349" i="2" s="1"/>
  <c r="I350" i="2" s="1"/>
  <c r="I351" i="2" s="1"/>
  <c r="I352" i="2" s="1"/>
  <c r="I353" i="2" s="1"/>
  <c r="I354" i="2" s="1"/>
  <c r="I355" i="2" s="1"/>
  <c r="I356" i="2" s="1"/>
  <c r="I357" i="2" s="1"/>
  <c r="D346" i="2"/>
  <c r="K324" i="2"/>
  <c r="I324" i="2"/>
  <c r="I325" i="2" s="1"/>
  <c r="I326" i="2" s="1"/>
  <c r="I327" i="2" s="1"/>
  <c r="I328" i="2" s="1"/>
  <c r="I329" i="2" s="1"/>
  <c r="I330" i="2" s="1"/>
  <c r="I331" i="2" s="1"/>
  <c r="I332" i="2" s="1"/>
  <c r="I333" i="2" s="1"/>
  <c r="I334" i="2" s="1"/>
  <c r="I335" i="2" s="1"/>
  <c r="D324" i="2"/>
  <c r="K310" i="2"/>
  <c r="I310" i="2"/>
  <c r="I311" i="2" s="1"/>
  <c r="D310" i="2"/>
  <c r="K297" i="2"/>
  <c r="I297" i="2"/>
  <c r="I298" i="2" s="1"/>
  <c r="D297" i="2"/>
  <c r="K264" i="2"/>
  <c r="I264" i="2"/>
  <c r="D264" i="2"/>
  <c r="K250" i="2"/>
  <c r="I250" i="2"/>
  <c r="I251" i="2" s="1"/>
  <c r="D250" i="2"/>
  <c r="K236" i="2"/>
  <c r="I236" i="2"/>
  <c r="I237" i="2" s="1"/>
  <c r="D236" i="2"/>
  <c r="K214" i="2"/>
  <c r="I214" i="2"/>
  <c r="D214" i="2"/>
  <c r="K191" i="2"/>
  <c r="I191" i="2"/>
  <c r="I192" i="2" s="1"/>
  <c r="D191" i="2"/>
  <c r="K177" i="2"/>
  <c r="I177" i="2"/>
  <c r="I178" i="2" s="1"/>
  <c r="I179" i="2" s="1"/>
  <c r="D177" i="2"/>
  <c r="K156" i="2"/>
  <c r="I156" i="2"/>
  <c r="D156" i="2"/>
  <c r="K142" i="2"/>
  <c r="I142" i="2"/>
  <c r="I143" i="2" s="1"/>
  <c r="D142" i="2"/>
  <c r="K129" i="2"/>
  <c r="I129" i="2"/>
  <c r="I130" i="2" s="1"/>
  <c r="D129" i="2"/>
  <c r="K115" i="2"/>
  <c r="I115" i="2"/>
  <c r="I116" i="2" s="1"/>
  <c r="D115" i="2"/>
  <c r="K102" i="2"/>
  <c r="I102" i="2"/>
  <c r="I103" i="2" s="1"/>
  <c r="D102" i="2"/>
  <c r="K90" i="2"/>
  <c r="I90" i="2"/>
  <c r="I91" i="2" s="1"/>
  <c r="D90" i="2"/>
  <c r="K77" i="2"/>
  <c r="I77" i="2"/>
  <c r="I78" i="2" s="1"/>
  <c r="I79" i="2" s="1"/>
  <c r="D77" i="2"/>
  <c r="K63" i="2"/>
  <c r="I63" i="2"/>
  <c r="I64" i="2" s="1"/>
  <c r="D63" i="2"/>
  <c r="K50" i="2"/>
  <c r="I50" i="2"/>
  <c r="I51" i="2" s="1"/>
  <c r="D50" i="2"/>
  <c r="K37" i="2"/>
  <c r="I37" i="2"/>
  <c r="I38" i="2" s="1"/>
  <c r="D37" i="2"/>
  <c r="K23" i="2"/>
  <c r="I23" i="2"/>
  <c r="I24" i="2" s="1"/>
  <c r="D23" i="2"/>
  <c r="K9" i="2"/>
  <c r="I9" i="2"/>
  <c r="I10" i="2" s="1"/>
  <c r="D9" i="2"/>
  <c r="K440" i="1"/>
  <c r="I440" i="1"/>
  <c r="D440" i="1"/>
  <c r="K426" i="1"/>
  <c r="I426" i="1"/>
  <c r="D426" i="1"/>
  <c r="K413" i="1"/>
  <c r="I413" i="1"/>
  <c r="D413" i="1"/>
  <c r="K400" i="1"/>
  <c r="I400" i="1"/>
  <c r="D400" i="1"/>
  <c r="K386" i="1"/>
  <c r="I386" i="1"/>
  <c r="D386" i="1"/>
  <c r="K370" i="1"/>
  <c r="I370" i="1"/>
  <c r="D370" i="1"/>
  <c r="K357" i="1"/>
  <c r="I357" i="1"/>
  <c r="D357" i="1"/>
  <c r="K341" i="1"/>
  <c r="I341" i="1"/>
  <c r="I342" i="1" s="1"/>
  <c r="I343" i="1" s="1"/>
  <c r="I344" i="1" s="1"/>
  <c r="I345" i="1" s="1"/>
  <c r="D341" i="1"/>
  <c r="K326" i="1"/>
  <c r="I326" i="1"/>
  <c r="D326" i="1"/>
  <c r="K309" i="1"/>
  <c r="I309" i="1"/>
  <c r="I310" i="1" s="1"/>
  <c r="I311" i="1" s="1"/>
  <c r="I312" i="1" s="1"/>
  <c r="I313" i="1" s="1"/>
  <c r="D309" i="1"/>
  <c r="K296" i="1"/>
  <c r="I296" i="1"/>
  <c r="D296" i="1"/>
  <c r="K279" i="1"/>
  <c r="I279" i="1"/>
  <c r="I280" i="1" s="1"/>
  <c r="I281" i="1" s="1"/>
  <c r="I282" i="1" s="1"/>
  <c r="I283" i="1" s="1"/>
  <c r="D279" i="1"/>
  <c r="K265" i="1"/>
  <c r="I265" i="1"/>
  <c r="I266" i="1" s="1"/>
  <c r="I267" i="1" s="1"/>
  <c r="I268" i="1" s="1"/>
  <c r="D265" i="1"/>
  <c r="K248" i="1"/>
  <c r="I248" i="1"/>
  <c r="I249" i="1" s="1"/>
  <c r="I250" i="1" s="1"/>
  <c r="I251" i="1" s="1"/>
  <c r="I252" i="1" s="1"/>
  <c r="D248" i="1"/>
  <c r="K227" i="1"/>
  <c r="I227" i="1"/>
  <c r="I228" i="1" s="1"/>
  <c r="I229" i="1" s="1"/>
  <c r="I230" i="1" s="1"/>
  <c r="I231" i="1" s="1"/>
  <c r="D227" i="1"/>
  <c r="K210" i="1"/>
  <c r="I210" i="1"/>
  <c r="I211" i="1" s="1"/>
  <c r="I212" i="1" s="1"/>
  <c r="I213" i="1" s="1"/>
  <c r="I214" i="1" s="1"/>
  <c r="D210" i="1"/>
  <c r="K189" i="1"/>
  <c r="I189" i="1"/>
  <c r="D189" i="1"/>
  <c r="K171" i="1"/>
  <c r="I171" i="1"/>
  <c r="D171" i="1"/>
  <c r="K157" i="1"/>
  <c r="I157" i="1"/>
  <c r="D157" i="1"/>
  <c r="K142" i="1"/>
  <c r="I142" i="1"/>
  <c r="D142" i="1"/>
  <c r="K129" i="1"/>
  <c r="I129" i="1"/>
  <c r="D129" i="1"/>
  <c r="K116" i="1"/>
  <c r="I116" i="1"/>
  <c r="I117" i="1" s="1"/>
  <c r="I118" i="1" s="1"/>
  <c r="D116" i="1"/>
  <c r="K92" i="1"/>
  <c r="I92" i="1"/>
  <c r="D92" i="1"/>
  <c r="K72" i="1"/>
  <c r="I72" i="1"/>
  <c r="D72" i="1"/>
  <c r="K54" i="1"/>
  <c r="I54" i="1"/>
  <c r="K35" i="1"/>
  <c r="I35" i="1"/>
  <c r="D35" i="1"/>
  <c r="D685" i="17" l="1"/>
  <c r="E685" i="17" s="1"/>
  <c r="D140" i="6"/>
  <c r="E140" i="6" s="1"/>
  <c r="D250" i="10" s="1"/>
  <c r="D329" i="17"/>
  <c r="E329" i="17" s="1"/>
  <c r="H388" i="4"/>
  <c r="K388" i="4" s="1"/>
  <c r="J388" i="4" s="1"/>
  <c r="H334" i="4"/>
  <c r="K334" i="4" s="1"/>
  <c r="J334" i="4" s="1"/>
  <c r="D552" i="17"/>
  <c r="E552" i="17" s="1"/>
  <c r="D456" i="17"/>
  <c r="E456" i="17" s="1"/>
  <c r="E460" i="17" s="1"/>
  <c r="Q456" i="17" s="1"/>
  <c r="Q459" i="17" s="1"/>
  <c r="C36" i="16" s="1"/>
  <c r="F36" i="16" s="1"/>
  <c r="G36" i="16" s="1"/>
  <c r="H252" i="4"/>
  <c r="K252" i="4" s="1"/>
  <c r="J252" i="4" s="1"/>
  <c r="D383" i="17"/>
  <c r="E383" i="17" s="1"/>
  <c r="H348" i="4"/>
  <c r="K348" i="4" s="1"/>
  <c r="J348" i="4" s="1"/>
  <c r="K361" i="4"/>
  <c r="J361" i="4" s="1"/>
  <c r="D422" i="17"/>
  <c r="E422" i="17" s="1"/>
  <c r="E426" i="17" s="1"/>
  <c r="Q422" i="17" s="1"/>
  <c r="Q425" i="17" s="1"/>
  <c r="C34" i="16" s="1"/>
  <c r="F34" i="16" s="1"/>
  <c r="G34" i="16" s="1"/>
  <c r="H265" i="4"/>
  <c r="K265" i="4" s="1"/>
  <c r="J265" i="4" s="1"/>
  <c r="D436" i="17"/>
  <c r="E436" i="17" s="1"/>
  <c r="H413" i="4"/>
  <c r="K413" i="4" s="1"/>
  <c r="J413" i="4" s="1"/>
  <c r="I436" i="2"/>
  <c r="I437" i="2" s="1"/>
  <c r="I438" i="2" s="1"/>
  <c r="I439" i="2" s="1"/>
  <c r="H307" i="4"/>
  <c r="K307" i="4" s="1"/>
  <c r="J307" i="4" s="1"/>
  <c r="D193" i="17"/>
  <c r="E193" i="17" s="1"/>
  <c r="H374" i="4"/>
  <c r="K374" i="4" s="1"/>
  <c r="J374" i="4" s="1"/>
  <c r="D174" i="17"/>
  <c r="E174" i="17" s="1"/>
  <c r="D232" i="17"/>
  <c r="E232" i="17" s="1"/>
  <c r="H280" i="4"/>
  <c r="K280" i="4" s="1"/>
  <c r="J280" i="4" s="1"/>
  <c r="H321" i="4"/>
  <c r="K321" i="4" s="1"/>
  <c r="J321" i="4" s="1"/>
  <c r="D213" i="17"/>
  <c r="E213" i="17" s="1"/>
  <c r="J483" i="3"/>
  <c r="D152" i="17"/>
  <c r="E152" i="17" s="1"/>
  <c r="H400" i="4"/>
  <c r="K400" i="4" s="1"/>
  <c r="J400" i="4" s="1"/>
  <c r="H188" i="4"/>
  <c r="K188" i="4" s="1"/>
  <c r="G189" i="4"/>
  <c r="D85" i="17"/>
  <c r="E85" i="17" s="1"/>
  <c r="D71" i="17"/>
  <c r="E71" i="17" s="1"/>
  <c r="H239" i="4"/>
  <c r="K239" i="4" s="1"/>
  <c r="J239" i="4" s="1"/>
  <c r="H293" i="4"/>
  <c r="K293" i="4" s="1"/>
  <c r="G201" i="4"/>
  <c r="G221" i="4"/>
  <c r="I265" i="2"/>
  <c r="I266" i="2" s="1"/>
  <c r="I267" i="2" s="1"/>
  <c r="I268" i="2" s="1"/>
  <c r="I269" i="2" s="1"/>
  <c r="I270" i="2" s="1"/>
  <c r="I271" i="2" s="1"/>
  <c r="I272" i="2" s="1"/>
  <c r="I273" i="2" s="1"/>
  <c r="I274" i="2" s="1"/>
  <c r="I275" i="2" s="1"/>
  <c r="I276" i="2" s="1"/>
  <c r="I277" i="2" s="1"/>
  <c r="I278" i="2" s="1"/>
  <c r="I279" i="2" s="1"/>
  <c r="I280" i="2" s="1"/>
  <c r="I281" i="2" s="1"/>
  <c r="I282" i="2" s="1"/>
  <c r="I283" i="2" s="1"/>
  <c r="I284" i="2" s="1"/>
  <c r="I285" i="2" s="1"/>
  <c r="I286" i="2" s="1"/>
  <c r="I287" i="2" s="1"/>
  <c r="I215" i="2"/>
  <c r="I216" i="2" s="1"/>
  <c r="I217" i="2" s="1"/>
  <c r="I218" i="2" s="1"/>
  <c r="I219" i="2" s="1"/>
  <c r="I220" i="2" s="1"/>
  <c r="I221" i="2" s="1"/>
  <c r="I222" i="2" s="1"/>
  <c r="I223" i="2" s="1"/>
  <c r="I224" i="2" s="1"/>
  <c r="I157" i="2"/>
  <c r="I158" i="2" s="1"/>
  <c r="I159" i="2" s="1"/>
  <c r="I160" i="2" s="1"/>
  <c r="I161" i="2" s="1"/>
  <c r="I162" i="2" s="1"/>
  <c r="I163" i="2" s="1"/>
  <c r="I164" i="2" s="1"/>
  <c r="I165" i="2" s="1"/>
  <c r="I166" i="2" s="1"/>
  <c r="I371" i="1"/>
  <c r="I372" i="1" s="1"/>
  <c r="I373" i="1" s="1"/>
  <c r="I374" i="1" s="1"/>
  <c r="I375" i="1" s="1"/>
  <c r="I190" i="1"/>
  <c r="I191" i="1" s="1"/>
  <c r="I192" i="1" s="1"/>
  <c r="I193" i="1" s="1"/>
  <c r="I194" i="1" s="1"/>
  <c r="I195" i="1" s="1"/>
  <c r="I196" i="1" s="1"/>
  <c r="I197" i="1" s="1"/>
  <c r="I143" i="1"/>
  <c r="I144" i="1" s="1"/>
  <c r="I93" i="1"/>
  <c r="I94" i="1" s="1"/>
  <c r="I95" i="1" s="1"/>
  <c r="I96" i="1" s="1"/>
  <c r="I97" i="1" s="1"/>
  <c r="I98" i="1" s="1"/>
  <c r="I99" i="1" s="1"/>
  <c r="I73" i="1"/>
  <c r="I74" i="1" s="1"/>
  <c r="I75" i="1" s="1"/>
  <c r="I76" i="1" s="1"/>
  <c r="I77" i="1" s="1"/>
  <c r="I78" i="1" s="1"/>
  <c r="I79" i="1" s="1"/>
  <c r="I55" i="1"/>
  <c r="I56" i="1" s="1"/>
  <c r="I57" i="1" s="1"/>
  <c r="I58" i="1" s="1"/>
  <c r="I59" i="1" s="1"/>
  <c r="I60" i="1" s="1"/>
  <c r="I61" i="1" s="1"/>
  <c r="I36" i="1"/>
  <c r="I37" i="1" s="1"/>
  <c r="I38" i="1" s="1"/>
  <c r="I39" i="1" s="1"/>
  <c r="J227" i="1"/>
  <c r="G228" i="1" s="1"/>
  <c r="J127" i="3"/>
  <c r="G128" i="3" s="1"/>
  <c r="J196" i="3"/>
  <c r="G197" i="3" s="1"/>
  <c r="J183" i="3"/>
  <c r="G184" i="3" s="1"/>
  <c r="J415" i="3"/>
  <c r="J426" i="1"/>
  <c r="J341" i="1"/>
  <c r="J400" i="1"/>
  <c r="I193" i="2"/>
  <c r="I194" i="2" s="1"/>
  <c r="I195" i="2" s="1"/>
  <c r="I196" i="2" s="1"/>
  <c r="I197" i="2" s="1"/>
  <c r="I198" i="2" s="1"/>
  <c r="I199" i="2" s="1"/>
  <c r="I200" i="2" s="1"/>
  <c r="I201" i="2" s="1"/>
  <c r="I202" i="2" s="1"/>
  <c r="J248" i="1"/>
  <c r="G249" i="1" s="1"/>
  <c r="J413" i="1"/>
  <c r="J370" i="1"/>
  <c r="G371" i="1" s="1"/>
  <c r="J357" i="1"/>
  <c r="J189" i="1"/>
  <c r="G190" i="1" s="1"/>
  <c r="J72" i="1"/>
  <c r="J386" i="1"/>
  <c r="J309" i="1"/>
  <c r="G310" i="1" s="1"/>
  <c r="J279" i="1"/>
  <c r="G280" i="1" s="1"/>
  <c r="J210" i="1"/>
  <c r="G211" i="1" s="1"/>
  <c r="J326" i="1"/>
  <c r="J440" i="1"/>
  <c r="J60" i="3"/>
  <c r="G61" i="3" s="1"/>
  <c r="J22" i="4"/>
  <c r="G23" i="4" s="1"/>
  <c r="D632" i="17" s="1"/>
  <c r="E632" i="17" s="1"/>
  <c r="J295" i="3"/>
  <c r="G296" i="3" s="1"/>
  <c r="D651" i="17" s="1"/>
  <c r="E651" i="17" s="1"/>
  <c r="J171" i="1"/>
  <c r="J296" i="1"/>
  <c r="J88" i="4"/>
  <c r="G89" i="4" s="1"/>
  <c r="D635" i="17" s="1"/>
  <c r="E635" i="17" s="1"/>
  <c r="J54" i="1"/>
  <c r="G55" i="1" s="1"/>
  <c r="J142" i="1"/>
  <c r="G143" i="1" s="1"/>
  <c r="J265" i="1"/>
  <c r="G266" i="1" s="1"/>
  <c r="J9" i="4"/>
  <c r="G10" i="4" s="1"/>
  <c r="J50" i="4"/>
  <c r="J75" i="4"/>
  <c r="G76" i="4" s="1"/>
  <c r="J443" i="3"/>
  <c r="G444" i="3" s="1"/>
  <c r="J495" i="3"/>
  <c r="G496" i="3" s="1"/>
  <c r="J34" i="3"/>
  <c r="G35" i="3" s="1"/>
  <c r="J86" i="3"/>
  <c r="G87" i="3" s="1"/>
  <c r="J100" i="3"/>
  <c r="G101" i="3" s="1"/>
  <c r="J21" i="3"/>
  <c r="G22" i="3" s="1"/>
  <c r="J73" i="3"/>
  <c r="G74" i="3" s="1"/>
  <c r="J401" i="3"/>
  <c r="J508" i="3"/>
  <c r="G509" i="3" s="1"/>
  <c r="J492" i="2"/>
  <c r="G493" i="2" s="1"/>
  <c r="J310" i="2"/>
  <c r="G311" i="2" s="1"/>
  <c r="J478" i="2"/>
  <c r="G479" i="2" s="1"/>
  <c r="J415" i="2"/>
  <c r="G416" i="2" s="1"/>
  <c r="J214" i="2"/>
  <c r="G215" i="2" s="1"/>
  <c r="D634" i="17" s="1"/>
  <c r="E634" i="17" s="1"/>
  <c r="J505" i="2"/>
  <c r="G506" i="2" s="1"/>
  <c r="J560" i="2"/>
  <c r="G561" i="2" s="1"/>
  <c r="J129" i="2"/>
  <c r="G130" i="2" s="1"/>
  <c r="J518" i="2"/>
  <c r="G519" i="2" s="1"/>
  <c r="J250" i="2"/>
  <c r="G251" i="2" s="1"/>
  <c r="J546" i="2"/>
  <c r="G547" i="2" s="1"/>
  <c r="J532" i="2"/>
  <c r="G533" i="2" s="1"/>
  <c r="J63" i="2"/>
  <c r="G64" i="2" s="1"/>
  <c r="J77" i="2"/>
  <c r="G78" i="2" s="1"/>
  <c r="K78" i="2" s="1"/>
  <c r="J50" i="2"/>
  <c r="G51" i="2" s="1"/>
  <c r="J174" i="4"/>
  <c r="G175" i="4" s="1"/>
  <c r="J158" i="4"/>
  <c r="G159" i="4" s="1"/>
  <c r="J143" i="4"/>
  <c r="G144" i="4" s="1"/>
  <c r="J130" i="4"/>
  <c r="G131" i="4" s="1"/>
  <c r="J117" i="4"/>
  <c r="G118" i="4" s="1"/>
  <c r="J103" i="4"/>
  <c r="G104" i="4" s="1"/>
  <c r="D636" i="17" s="1"/>
  <c r="E636" i="17" s="1"/>
  <c r="J63" i="4"/>
  <c r="G64" i="4" s="1"/>
  <c r="J37" i="4"/>
  <c r="J521" i="3"/>
  <c r="G522" i="3" s="1"/>
  <c r="J482" i="3"/>
  <c r="G483" i="3" s="1"/>
  <c r="J469" i="3"/>
  <c r="G470" i="3" s="1"/>
  <c r="J456" i="3"/>
  <c r="G457" i="3" s="1"/>
  <c r="J429" i="3"/>
  <c r="G430" i="3" s="1"/>
  <c r="J387" i="3"/>
  <c r="G388" i="3" s="1"/>
  <c r="D671" i="17" s="1"/>
  <c r="E671" i="17" s="1"/>
  <c r="J369" i="3"/>
  <c r="J352" i="3"/>
  <c r="G353" i="3" s="1"/>
  <c r="D655" i="17" s="1"/>
  <c r="E655" i="17" s="1"/>
  <c r="J337" i="3"/>
  <c r="G338" i="3" s="1"/>
  <c r="D654" i="17" s="1"/>
  <c r="E654" i="17" s="1"/>
  <c r="J322" i="3"/>
  <c r="G323" i="3" s="1"/>
  <c r="D653" i="17" s="1"/>
  <c r="E653" i="17" s="1"/>
  <c r="J308" i="3"/>
  <c r="G309" i="3" s="1"/>
  <c r="D652" i="17" s="1"/>
  <c r="E652" i="17" s="1"/>
  <c r="J276" i="3"/>
  <c r="G277" i="3" s="1"/>
  <c r="D650" i="17" s="1"/>
  <c r="E650" i="17" s="1"/>
  <c r="J262" i="3"/>
  <c r="G263" i="3" s="1"/>
  <c r="D649" i="17" s="1"/>
  <c r="E649" i="17" s="1"/>
  <c r="J250" i="3"/>
  <c r="G251" i="3" s="1"/>
  <c r="J236" i="3"/>
  <c r="G237" i="3" s="1"/>
  <c r="J223" i="3"/>
  <c r="G224" i="3" s="1"/>
  <c r="J209" i="3"/>
  <c r="G210" i="3" s="1"/>
  <c r="J169" i="3"/>
  <c r="G170" i="3" s="1"/>
  <c r="J154" i="3"/>
  <c r="G155" i="3" s="1"/>
  <c r="J141" i="3"/>
  <c r="G142" i="3" s="1"/>
  <c r="J113" i="3"/>
  <c r="G114" i="3" s="1"/>
  <c r="J47" i="3"/>
  <c r="G48" i="3" s="1"/>
  <c r="J8" i="3"/>
  <c r="G9" i="3" s="1"/>
  <c r="J464" i="2"/>
  <c r="G465" i="2" s="1"/>
  <c r="J450" i="2"/>
  <c r="G451" i="2" s="1"/>
  <c r="J428" i="2"/>
  <c r="G429" i="2" s="1"/>
  <c r="J393" i="2"/>
  <c r="G394" i="2" s="1"/>
  <c r="D689" i="17" s="1"/>
  <c r="E689" i="17" s="1"/>
  <c r="J368" i="2"/>
  <c r="G369" i="2" s="1"/>
  <c r="D688" i="17" s="1"/>
  <c r="E688" i="17" s="1"/>
  <c r="J346" i="2"/>
  <c r="G347" i="2" s="1"/>
  <c r="D687" i="17" s="1"/>
  <c r="E687" i="17" s="1"/>
  <c r="J324" i="2"/>
  <c r="G325" i="2" s="1"/>
  <c r="D686" i="17" s="1"/>
  <c r="E686" i="17" s="1"/>
  <c r="J297" i="2"/>
  <c r="G298" i="2" s="1"/>
  <c r="J264" i="2"/>
  <c r="G265" i="2" s="1"/>
  <c r="D637" i="17" s="1"/>
  <c r="E637" i="17" s="1"/>
  <c r="J236" i="2"/>
  <c r="G237" i="2" s="1"/>
  <c r="J191" i="2"/>
  <c r="G192" i="2" s="1"/>
  <c r="D633" i="17" s="1"/>
  <c r="E633" i="17" s="1"/>
  <c r="J177" i="2"/>
  <c r="G178" i="2" s="1"/>
  <c r="J156" i="2"/>
  <c r="G157" i="2" s="1"/>
  <c r="D631" i="17" s="1"/>
  <c r="E631" i="17" s="1"/>
  <c r="J142" i="2"/>
  <c r="G143" i="2" s="1"/>
  <c r="J115" i="2"/>
  <c r="G116" i="2" s="1"/>
  <c r="J102" i="2"/>
  <c r="G103" i="2" s="1"/>
  <c r="J90" i="2"/>
  <c r="G91" i="2" s="1"/>
  <c r="J37" i="2"/>
  <c r="G38" i="2" s="1"/>
  <c r="J23" i="2"/>
  <c r="G24" i="2" s="1"/>
  <c r="J9" i="2"/>
  <c r="G10" i="2" s="1"/>
  <c r="J129" i="1"/>
  <c r="J116" i="1"/>
  <c r="G117" i="1" s="1"/>
  <c r="H117" i="1" s="1"/>
  <c r="J92" i="1"/>
  <c r="G93" i="1" s="1"/>
  <c r="J157" i="1"/>
  <c r="J35" i="1"/>
  <c r="D25" i="6" l="1"/>
  <c r="E25" i="6" s="1"/>
  <c r="D617" i="17"/>
  <c r="E617" i="17" s="1"/>
  <c r="D146" i="6"/>
  <c r="D691" i="17"/>
  <c r="E691" i="17" s="1"/>
  <c r="D26" i="6"/>
  <c r="E26" i="6" s="1"/>
  <c r="D618" i="17"/>
  <c r="E618" i="17" s="1"/>
  <c r="E638" i="17"/>
  <c r="Q631" i="17" s="1"/>
  <c r="Q634" i="17" s="1"/>
  <c r="C6" i="16" s="1"/>
  <c r="F6" i="16" s="1"/>
  <c r="G6" i="16" s="1"/>
  <c r="D690" i="17"/>
  <c r="E690" i="17" s="1"/>
  <c r="D145" i="6"/>
  <c r="D692" i="17"/>
  <c r="E692" i="17" s="1"/>
  <c r="D147" i="6"/>
  <c r="E147" i="6" s="1"/>
  <c r="D257" i="10" s="1"/>
  <c r="D519" i="17"/>
  <c r="E519" i="17" s="1"/>
  <c r="H131" i="4"/>
  <c r="K131" i="4" s="1"/>
  <c r="J131" i="4" s="1"/>
  <c r="H210" i="3"/>
  <c r="K210" i="3" s="1"/>
  <c r="J210" i="3" s="1"/>
  <c r="D355" i="17"/>
  <c r="E355" i="17" s="1"/>
  <c r="D538" i="17"/>
  <c r="E538" i="17" s="1"/>
  <c r="H522" i="3"/>
  <c r="K522" i="3" s="1"/>
  <c r="J522" i="3" s="1"/>
  <c r="H175" i="4"/>
  <c r="K175" i="4" s="1"/>
  <c r="J175" i="4" s="1"/>
  <c r="D369" i="17"/>
  <c r="E369" i="17" s="1"/>
  <c r="E373" i="17" s="1"/>
  <c r="Q369" i="17" s="1"/>
  <c r="Q372" i="17" s="1"/>
  <c r="C31" i="16" s="1"/>
  <c r="F31" i="16" s="1"/>
  <c r="G31" i="16" s="1"/>
  <c r="D353" i="17"/>
  <c r="E353" i="17" s="1"/>
  <c r="H184" i="3"/>
  <c r="K184" i="3" s="1"/>
  <c r="J184" i="3" s="1"/>
  <c r="D588" i="17"/>
  <c r="E588" i="17" s="1"/>
  <c r="E592" i="17" s="1"/>
  <c r="Q588" i="17" s="1"/>
  <c r="Q591" i="17" s="1"/>
  <c r="C44" i="16" s="1"/>
  <c r="F44" i="16" s="1"/>
  <c r="G44" i="16" s="1"/>
  <c r="H103" i="2"/>
  <c r="K103" i="2" s="1"/>
  <c r="J103" i="2" s="1"/>
  <c r="H224" i="3"/>
  <c r="K224" i="3" s="1"/>
  <c r="J224" i="3" s="1"/>
  <c r="D356" i="17"/>
  <c r="E356" i="17" s="1"/>
  <c r="H509" i="3"/>
  <c r="K509" i="3" s="1"/>
  <c r="J509" i="3" s="1"/>
  <c r="D540" i="17"/>
  <c r="E540" i="17" s="1"/>
  <c r="D318" i="17"/>
  <c r="E318" i="17" s="1"/>
  <c r="H444" i="3"/>
  <c r="K444" i="3" s="1"/>
  <c r="J444" i="3" s="1"/>
  <c r="D354" i="17"/>
  <c r="E354" i="17" s="1"/>
  <c r="H197" i="3"/>
  <c r="K197" i="3" s="1"/>
  <c r="J197" i="3" s="1"/>
  <c r="H128" i="3"/>
  <c r="K128" i="3" s="1"/>
  <c r="D349" i="17"/>
  <c r="E349" i="17" s="1"/>
  <c r="H430" i="3"/>
  <c r="K430" i="3" s="1"/>
  <c r="J430" i="3" s="1"/>
  <c r="D316" i="17"/>
  <c r="E316" i="17" s="1"/>
  <c r="H118" i="4"/>
  <c r="K118" i="4" s="1"/>
  <c r="J118" i="4" s="1"/>
  <c r="D518" i="17"/>
  <c r="E518" i="17" s="1"/>
  <c r="D539" i="17"/>
  <c r="E539" i="17" s="1"/>
  <c r="H10" i="4"/>
  <c r="K10" i="4" s="1"/>
  <c r="J10" i="4" s="1"/>
  <c r="D350" i="17"/>
  <c r="E350" i="17" s="1"/>
  <c r="H142" i="3"/>
  <c r="K142" i="3" s="1"/>
  <c r="J142" i="3" s="1"/>
  <c r="D334" i="17"/>
  <c r="E334" i="17" s="1"/>
  <c r="H48" i="3"/>
  <c r="K48" i="3" s="1"/>
  <c r="J48" i="3" s="1"/>
  <c r="D317" i="17"/>
  <c r="E317" i="17" s="1"/>
  <c r="H457" i="3"/>
  <c r="K457" i="3" s="1"/>
  <c r="J457" i="3" s="1"/>
  <c r="D351" i="17"/>
  <c r="E351" i="17" s="1"/>
  <c r="H155" i="3"/>
  <c r="K155" i="3" s="1"/>
  <c r="J155" i="3" s="1"/>
  <c r="D520" i="17"/>
  <c r="E520" i="17" s="1"/>
  <c r="H144" i="4"/>
  <c r="K144" i="4" s="1"/>
  <c r="J144" i="4" s="1"/>
  <c r="H87" i="3"/>
  <c r="D409" i="17"/>
  <c r="E409" i="17" s="1"/>
  <c r="H101" i="3"/>
  <c r="K101" i="3" s="1"/>
  <c r="J101" i="3" s="1"/>
  <c r="D388" i="17"/>
  <c r="E388" i="17" s="1"/>
  <c r="H170" i="3"/>
  <c r="K170" i="3" s="1"/>
  <c r="J170" i="3" s="1"/>
  <c r="D352" i="17"/>
  <c r="E352" i="17" s="1"/>
  <c r="H35" i="3"/>
  <c r="K35" i="3" s="1"/>
  <c r="D557" i="17"/>
  <c r="E557" i="17" s="1"/>
  <c r="I35" i="3"/>
  <c r="H519" i="2"/>
  <c r="K519" i="2" s="1"/>
  <c r="J519" i="2" s="1"/>
  <c r="D336" i="17"/>
  <c r="E336" i="17" s="1"/>
  <c r="D505" i="17"/>
  <c r="E505" i="17" s="1"/>
  <c r="H237" i="2"/>
  <c r="K237" i="2" s="1"/>
  <c r="J237" i="2" s="1"/>
  <c r="D410" i="17"/>
  <c r="E410" i="17" s="1"/>
  <c r="H547" i="2"/>
  <c r="K547" i="2" s="1"/>
  <c r="J547" i="2" s="1"/>
  <c r="D489" i="17"/>
  <c r="E489" i="17" s="1"/>
  <c r="H311" i="2"/>
  <c r="K311" i="2" s="1"/>
  <c r="J311" i="2" s="1"/>
  <c r="D470" i="17"/>
  <c r="E470" i="17" s="1"/>
  <c r="E474" i="17" s="1"/>
  <c r="Q470" i="17" s="1"/>
  <c r="Q473" i="17" s="1"/>
  <c r="C37" i="16" s="1"/>
  <c r="F37" i="16" s="1"/>
  <c r="G37" i="16" s="1"/>
  <c r="H91" i="2"/>
  <c r="K91" i="2" s="1"/>
  <c r="J91" i="2" s="1"/>
  <c r="D559" i="17"/>
  <c r="E559" i="17" s="1"/>
  <c r="H493" i="2"/>
  <c r="K493" i="2" s="1"/>
  <c r="J493" i="2" s="1"/>
  <c r="D390" i="17"/>
  <c r="E390" i="17" s="1"/>
  <c r="H561" i="2"/>
  <c r="K561" i="2" s="1"/>
  <c r="J561" i="2" s="1"/>
  <c r="D485" i="17"/>
  <c r="E485" i="17" s="1"/>
  <c r="H178" i="2"/>
  <c r="K178" i="2" s="1"/>
  <c r="J178" i="2" s="1"/>
  <c r="G179" i="2" s="1"/>
  <c r="D488" i="17"/>
  <c r="E488" i="17" s="1"/>
  <c r="H298" i="2"/>
  <c r="K298" i="2" s="1"/>
  <c r="J298" i="2" s="1"/>
  <c r="D506" i="17"/>
  <c r="E506" i="17" s="1"/>
  <c r="H251" i="2"/>
  <c r="K251" i="2" s="1"/>
  <c r="J251" i="2" s="1"/>
  <c r="H479" i="2"/>
  <c r="K479" i="2" s="1"/>
  <c r="J479" i="2" s="1"/>
  <c r="D220" i="17"/>
  <c r="E220" i="17" s="1"/>
  <c r="H130" i="2"/>
  <c r="K130" i="2" s="1"/>
  <c r="J130" i="2" s="1"/>
  <c r="D294" i="17"/>
  <c r="E294" i="17" s="1"/>
  <c r="E298" i="17" s="1"/>
  <c r="Q294" i="17" s="1"/>
  <c r="Q297" i="17" s="1"/>
  <c r="C27" i="16" s="1"/>
  <c r="F27" i="16" s="1"/>
  <c r="G27" i="16" s="1"/>
  <c r="D277" i="17"/>
  <c r="E277" i="17" s="1"/>
  <c r="E281" i="17" s="1"/>
  <c r="Q277" i="17" s="1"/>
  <c r="Q280" i="17" s="1"/>
  <c r="C26" i="16" s="1"/>
  <c r="F26" i="16" s="1"/>
  <c r="G26" i="16" s="1"/>
  <c r="H143" i="2"/>
  <c r="K143" i="2" s="1"/>
  <c r="J143" i="2" s="1"/>
  <c r="D251" i="17"/>
  <c r="E251" i="17" s="1"/>
  <c r="H496" i="3"/>
  <c r="K496" i="3" s="1"/>
  <c r="J496" i="3" s="1"/>
  <c r="D263" i="17"/>
  <c r="E263" i="17" s="1"/>
  <c r="H237" i="3"/>
  <c r="K237" i="3" s="1"/>
  <c r="J237" i="3" s="1"/>
  <c r="D179" i="17"/>
  <c r="E179" i="17" s="1"/>
  <c r="H74" i="3"/>
  <c r="K74" i="3" s="1"/>
  <c r="J74" i="3" s="1"/>
  <c r="D218" i="17"/>
  <c r="E218" i="17" s="1"/>
  <c r="H22" i="3"/>
  <c r="K22" i="3" s="1"/>
  <c r="J22" i="3" s="1"/>
  <c r="D198" i="17"/>
  <c r="E198" i="17" s="1"/>
  <c r="H9" i="3"/>
  <c r="K9" i="3" s="1"/>
  <c r="J9" i="3" s="1"/>
  <c r="D247" i="17"/>
  <c r="E247" i="17" s="1"/>
  <c r="H470" i="3"/>
  <c r="K470" i="3" s="1"/>
  <c r="J470" i="3" s="1"/>
  <c r="D250" i="17"/>
  <c r="E250" i="17" s="1"/>
  <c r="H483" i="3"/>
  <c r="H533" i="2"/>
  <c r="K533" i="2" s="1"/>
  <c r="J533" i="2" s="1"/>
  <c r="D181" i="17"/>
  <c r="E181" i="17" s="1"/>
  <c r="H465" i="2"/>
  <c r="K465" i="2" s="1"/>
  <c r="J465" i="2" s="1"/>
  <c r="D200" i="17"/>
  <c r="E200" i="17" s="1"/>
  <c r="H116" i="2"/>
  <c r="K116" i="2" s="1"/>
  <c r="J116" i="2" s="1"/>
  <c r="D44" i="17"/>
  <c r="E44" i="17" s="1"/>
  <c r="E47" i="17" s="1"/>
  <c r="Q44" i="17" s="1"/>
  <c r="Q47" i="17" s="1"/>
  <c r="C12" i="16" s="1"/>
  <c r="F12" i="16" s="1"/>
  <c r="G12" i="16" s="1"/>
  <c r="D122" i="17"/>
  <c r="E122" i="17" s="1"/>
  <c r="H64" i="4"/>
  <c r="K64" i="4" s="1"/>
  <c r="J64" i="4" s="1"/>
  <c r="J78" i="2"/>
  <c r="G79" i="2" s="1"/>
  <c r="D159" i="17"/>
  <c r="E159" i="17" s="1"/>
  <c r="H506" i="2"/>
  <c r="K506" i="2" s="1"/>
  <c r="J506" i="2" s="1"/>
  <c r="H76" i="4"/>
  <c r="K76" i="4" s="1"/>
  <c r="J76" i="4" s="1"/>
  <c r="D123" i="17"/>
  <c r="E123" i="17" s="1"/>
  <c r="D57" i="17"/>
  <c r="E57" i="17" s="1"/>
  <c r="H251" i="3"/>
  <c r="K251" i="3" s="1"/>
  <c r="J251" i="3" s="1"/>
  <c r="D72" i="17"/>
  <c r="E72" i="17" s="1"/>
  <c r="H114" i="3"/>
  <c r="K114" i="3" s="1"/>
  <c r="H61" i="3"/>
  <c r="K61" i="3" s="1"/>
  <c r="J61" i="3" s="1"/>
  <c r="D157" i="17"/>
  <c r="E157" i="17" s="1"/>
  <c r="D137" i="17"/>
  <c r="E137" i="17" s="1"/>
  <c r="H159" i="4"/>
  <c r="K159" i="4" s="1"/>
  <c r="J159" i="4" s="1"/>
  <c r="D40" i="6"/>
  <c r="G24" i="4"/>
  <c r="G51" i="4"/>
  <c r="H189" i="4"/>
  <c r="K189" i="4" s="1"/>
  <c r="J189" i="4" s="1"/>
  <c r="D102" i="17"/>
  <c r="E102" i="17" s="1"/>
  <c r="J188" i="4"/>
  <c r="G38" i="4"/>
  <c r="D30" i="17"/>
  <c r="E30" i="17" s="1"/>
  <c r="H51" i="2"/>
  <c r="K51" i="2" s="1"/>
  <c r="J51" i="2" s="1"/>
  <c r="D31" i="17"/>
  <c r="E31" i="17" s="1"/>
  <c r="H64" i="2"/>
  <c r="K64" i="2" s="1"/>
  <c r="J64" i="2" s="1"/>
  <c r="D27" i="17"/>
  <c r="E27" i="17" s="1"/>
  <c r="H10" i="2"/>
  <c r="K10" i="2" s="1"/>
  <c r="J10" i="2" s="1"/>
  <c r="H78" i="2"/>
  <c r="D32" i="17"/>
  <c r="E32" i="17" s="1"/>
  <c r="H24" i="2"/>
  <c r="K24" i="2" s="1"/>
  <c r="J24" i="2" s="1"/>
  <c r="D28" i="17"/>
  <c r="E28" i="17" s="1"/>
  <c r="H38" i="2"/>
  <c r="K38" i="2" s="1"/>
  <c r="J38" i="2" s="1"/>
  <c r="D29" i="17"/>
  <c r="E29" i="17" s="1"/>
  <c r="J293" i="4"/>
  <c r="G294" i="4" s="1"/>
  <c r="H429" i="2"/>
  <c r="K429" i="2" s="1"/>
  <c r="E146" i="6"/>
  <c r="D256" i="10" s="1"/>
  <c r="D142" i="6"/>
  <c r="E142" i="6" s="1"/>
  <c r="D252" i="10" s="1"/>
  <c r="H347" i="2"/>
  <c r="K347" i="2" s="1"/>
  <c r="H451" i="2"/>
  <c r="K451" i="2" s="1"/>
  <c r="H394" i="2"/>
  <c r="K394" i="2" s="1"/>
  <c r="D144" i="6"/>
  <c r="E144" i="6" s="1"/>
  <c r="D254" i="10" s="1"/>
  <c r="H325" i="2"/>
  <c r="K325" i="2" s="1"/>
  <c r="D141" i="6"/>
  <c r="E141" i="6" s="1"/>
  <c r="D143" i="6"/>
  <c r="E143" i="6" s="1"/>
  <c r="D253" i="10" s="1"/>
  <c r="H369" i="2"/>
  <c r="K369" i="2" s="1"/>
  <c r="H416" i="2"/>
  <c r="K416" i="2" s="1"/>
  <c r="E145" i="6"/>
  <c r="D255" i="10" s="1"/>
  <c r="K117" i="1"/>
  <c r="D267" i="10"/>
  <c r="H201" i="4"/>
  <c r="K201" i="4" s="1"/>
  <c r="H221" i="4"/>
  <c r="H388" i="3"/>
  <c r="D77" i="6"/>
  <c r="E77" i="6" s="1"/>
  <c r="D140" i="10" s="1"/>
  <c r="G416" i="3"/>
  <c r="D673" i="17" s="1"/>
  <c r="E673" i="17" s="1"/>
  <c r="G402" i="3"/>
  <c r="G342" i="1"/>
  <c r="G73" i="1"/>
  <c r="H73" i="1" s="1"/>
  <c r="K73" i="1" s="1"/>
  <c r="G36" i="1"/>
  <c r="H36" i="1" s="1"/>
  <c r="K36" i="1" s="1"/>
  <c r="H55" i="1"/>
  <c r="H249" i="1"/>
  <c r="H228" i="1"/>
  <c r="D44" i="10" s="1"/>
  <c r="H371" i="1"/>
  <c r="K371" i="1" s="1"/>
  <c r="H266" i="1"/>
  <c r="K266" i="1" s="1"/>
  <c r="H190" i="1"/>
  <c r="K190" i="1" s="1"/>
  <c r="H143" i="1"/>
  <c r="K143" i="1" s="1"/>
  <c r="H93" i="1"/>
  <c r="K93" i="1" s="1"/>
  <c r="G370" i="3"/>
  <c r="D603" i="17" s="1"/>
  <c r="E603" i="17" s="1"/>
  <c r="E607" i="17" s="1"/>
  <c r="Q603" i="17" s="1"/>
  <c r="Q606" i="17" s="1"/>
  <c r="K22" i="1"/>
  <c r="I22" i="1"/>
  <c r="D22" i="1"/>
  <c r="C4" i="16" l="1"/>
  <c r="D78" i="6"/>
  <c r="E78" i="6" s="1"/>
  <c r="D141" i="10" s="1"/>
  <c r="D672" i="17"/>
  <c r="E672" i="17" s="1"/>
  <c r="E620" i="17"/>
  <c r="Q617" i="17" s="1"/>
  <c r="Q620" i="17" s="1"/>
  <c r="C5" i="16" s="1"/>
  <c r="F5" i="16" s="1"/>
  <c r="G5" i="16" s="1"/>
  <c r="D408" i="17"/>
  <c r="E408" i="17" s="1"/>
  <c r="K87" i="3"/>
  <c r="J87" i="3" s="1"/>
  <c r="J35" i="3"/>
  <c r="E522" i="17"/>
  <c r="Q518" i="17" s="1"/>
  <c r="Q521" i="17" s="1"/>
  <c r="C40" i="16" s="1"/>
  <c r="F40" i="16" s="1"/>
  <c r="G40" i="16" s="1"/>
  <c r="H179" i="2"/>
  <c r="K179" i="2" s="1"/>
  <c r="J179" i="2" s="1"/>
  <c r="D502" i="17"/>
  <c r="E502" i="17" s="1"/>
  <c r="J114" i="3"/>
  <c r="G115" i="3" s="1"/>
  <c r="E61" i="17"/>
  <c r="Q57" i="17" s="1"/>
  <c r="Q60" i="17" s="1"/>
  <c r="C13" i="16" s="1"/>
  <c r="F13" i="16" s="1"/>
  <c r="G13" i="16" s="1"/>
  <c r="E75" i="17"/>
  <c r="Q71" i="17" s="1"/>
  <c r="Q74" i="17" s="1"/>
  <c r="C14" i="16" s="1"/>
  <c r="F14" i="16" s="1"/>
  <c r="G14" i="16" s="1"/>
  <c r="E33" i="17"/>
  <c r="Q27" i="17" s="1"/>
  <c r="Q30" i="17" s="1"/>
  <c r="C11" i="16" s="1"/>
  <c r="F11" i="16" s="1"/>
  <c r="G11" i="16" s="1"/>
  <c r="H79" i="2"/>
  <c r="K79" i="2" s="1"/>
  <c r="J79" i="2" s="1"/>
  <c r="D138" i="17"/>
  <c r="E138" i="17" s="1"/>
  <c r="D14" i="17"/>
  <c r="E14" i="17" s="1"/>
  <c r="H51" i="4"/>
  <c r="K51" i="4" s="1"/>
  <c r="J51" i="4" s="1"/>
  <c r="H38" i="4"/>
  <c r="K38" i="4" s="1"/>
  <c r="J38" i="4" s="1"/>
  <c r="D13" i="17"/>
  <c r="E13" i="17" s="1"/>
  <c r="G25" i="4"/>
  <c r="G26" i="4" s="1"/>
  <c r="D10" i="17"/>
  <c r="H24" i="4"/>
  <c r="J429" i="2"/>
  <c r="G430" i="2" s="1"/>
  <c r="J416" i="2"/>
  <c r="G417" i="2" s="1"/>
  <c r="D228" i="6"/>
  <c r="E228" i="6" s="1"/>
  <c r="H294" i="4"/>
  <c r="K294" i="4" s="1"/>
  <c r="J294" i="4" s="1"/>
  <c r="J117" i="1"/>
  <c r="G118" i="1" s="1"/>
  <c r="H118" i="1" s="1"/>
  <c r="D400" i="10" s="1"/>
  <c r="J394" i="2"/>
  <c r="G395" i="2" s="1"/>
  <c r="J369" i="2"/>
  <c r="G370" i="2" s="1"/>
  <c r="J451" i="2"/>
  <c r="G452" i="2" s="1"/>
  <c r="J347" i="2"/>
  <c r="G348" i="2" s="1"/>
  <c r="D251" i="10"/>
  <c r="J325" i="2"/>
  <c r="G326" i="2" s="1"/>
  <c r="D38" i="10"/>
  <c r="D37" i="10"/>
  <c r="K221" i="4"/>
  <c r="H402" i="3"/>
  <c r="K402" i="3" s="1"/>
  <c r="J402" i="3" s="1"/>
  <c r="G403" i="3" s="1"/>
  <c r="K388" i="3"/>
  <c r="H416" i="3"/>
  <c r="D79" i="6"/>
  <c r="E79" i="6" s="1"/>
  <c r="D142" i="10" s="1"/>
  <c r="D46" i="10"/>
  <c r="K249" i="1"/>
  <c r="K228" i="1"/>
  <c r="D72" i="10"/>
  <c r="K55" i="1"/>
  <c r="J55" i="1" s="1"/>
  <c r="J143" i="1"/>
  <c r="G144" i="1" s="1"/>
  <c r="H144" i="1" s="1"/>
  <c r="D76" i="10"/>
  <c r="H211" i="1"/>
  <c r="H280" i="1"/>
  <c r="K280" i="1" s="1"/>
  <c r="J36" i="1"/>
  <c r="G37" i="1" s="1"/>
  <c r="H37" i="1" s="1"/>
  <c r="D75" i="10"/>
  <c r="J73" i="1"/>
  <c r="G74" i="1" s="1"/>
  <c r="H74" i="1" s="1"/>
  <c r="D77" i="10"/>
  <c r="D73" i="10"/>
  <c r="J371" i="1"/>
  <c r="G372" i="1" s="1"/>
  <c r="H372" i="1" s="1"/>
  <c r="D74" i="10"/>
  <c r="H342" i="1"/>
  <c r="D15" i="10"/>
  <c r="J266" i="1"/>
  <c r="G267" i="1" s="1"/>
  <c r="H267" i="1" s="1"/>
  <c r="D210" i="10" s="1"/>
  <c r="D121" i="10"/>
  <c r="H310" i="1"/>
  <c r="J22" i="1"/>
  <c r="D11" i="6"/>
  <c r="E11" i="6" s="1"/>
  <c r="E15" i="6" s="1"/>
  <c r="D5" i="10" s="1"/>
  <c r="E4" i="10" s="1"/>
  <c r="E28" i="6"/>
  <c r="H370" i="3"/>
  <c r="D9" i="1"/>
  <c r="F4" i="16" l="1"/>
  <c r="H403" i="3"/>
  <c r="K403" i="3" s="1"/>
  <c r="J403" i="3" s="1"/>
  <c r="D313" i="17"/>
  <c r="E313" i="17" s="1"/>
  <c r="H26" i="4"/>
  <c r="D572" i="17"/>
  <c r="E572" i="17" s="1"/>
  <c r="J388" i="3"/>
  <c r="G389" i="3" s="1"/>
  <c r="D234" i="17"/>
  <c r="E234" i="17" s="1"/>
  <c r="H115" i="3"/>
  <c r="K115" i="3" s="1"/>
  <c r="J115" i="3" s="1"/>
  <c r="G116" i="3" s="1"/>
  <c r="E141" i="17"/>
  <c r="Q137" i="17" s="1"/>
  <c r="Q140" i="17" s="1"/>
  <c r="C18" i="16" s="1"/>
  <c r="F18" i="16" s="1"/>
  <c r="G18" i="16" s="1"/>
  <c r="H25" i="4"/>
  <c r="D119" i="17"/>
  <c r="E119" i="17" s="1"/>
  <c r="K370" i="3"/>
  <c r="D7" i="10"/>
  <c r="F6" i="10" s="1"/>
  <c r="E3" i="8" s="1"/>
  <c r="J221" i="4"/>
  <c r="G222" i="4" s="1"/>
  <c r="D383" i="10"/>
  <c r="H370" i="2"/>
  <c r="K370" i="2" s="1"/>
  <c r="D231" i="6"/>
  <c r="E231" i="6" s="1"/>
  <c r="D386" i="10" s="1"/>
  <c r="H326" i="2"/>
  <c r="K326" i="2" s="1"/>
  <c r="D229" i="6"/>
  <c r="E229" i="6" s="1"/>
  <c r="D384" i="10" s="1"/>
  <c r="H417" i="2"/>
  <c r="K417" i="2" s="1"/>
  <c r="J417" i="2" s="1"/>
  <c r="D233" i="6"/>
  <c r="E233" i="6" s="1"/>
  <c r="D388" i="10" s="1"/>
  <c r="H395" i="2"/>
  <c r="K395" i="2" s="1"/>
  <c r="D232" i="6"/>
  <c r="E232" i="6" s="1"/>
  <c r="D387" i="10" s="1"/>
  <c r="H348" i="2"/>
  <c r="K348" i="2" s="1"/>
  <c r="D230" i="6"/>
  <c r="E230" i="6" s="1"/>
  <c r="D385" i="10" s="1"/>
  <c r="H452" i="2"/>
  <c r="K452" i="2" s="1"/>
  <c r="D235" i="6"/>
  <c r="E235" i="6" s="1"/>
  <c r="D390" i="10" s="1"/>
  <c r="K118" i="1"/>
  <c r="J118" i="1" s="1"/>
  <c r="H430" i="2"/>
  <c r="K430" i="2" s="1"/>
  <c r="D234" i="6"/>
  <c r="E234" i="6" s="1"/>
  <c r="D389" i="10" s="1"/>
  <c r="K267" i="1"/>
  <c r="J267" i="1" s="1"/>
  <c r="G268" i="1" s="1"/>
  <c r="H268" i="1" s="1"/>
  <c r="D344" i="10" s="1"/>
  <c r="J249" i="1"/>
  <c r="G250" i="1" s="1"/>
  <c r="H250" i="1" s="1"/>
  <c r="D235" i="10" s="1"/>
  <c r="J228" i="1"/>
  <c r="G229" i="1" s="1"/>
  <c r="H229" i="1" s="1"/>
  <c r="D233" i="10" s="1"/>
  <c r="J280" i="1"/>
  <c r="G281" i="1" s="1"/>
  <c r="H281" i="1" s="1"/>
  <c r="D177" i="10" s="1"/>
  <c r="F36" i="10"/>
  <c r="H104" i="4"/>
  <c r="K104" i="4" s="1"/>
  <c r="D44" i="6"/>
  <c r="E44" i="6" s="1"/>
  <c r="D43" i="6"/>
  <c r="E43" i="6" s="1"/>
  <c r="H89" i="4"/>
  <c r="K89" i="4" s="1"/>
  <c r="E40" i="6"/>
  <c r="H23" i="4"/>
  <c r="K23" i="4" s="1"/>
  <c r="K24" i="4" s="1"/>
  <c r="K416" i="3"/>
  <c r="H263" i="3"/>
  <c r="K263" i="3" s="1"/>
  <c r="D56" i="6"/>
  <c r="E56" i="6" s="1"/>
  <c r="D106" i="10" s="1"/>
  <c r="H277" i="3"/>
  <c r="K277" i="3" s="1"/>
  <c r="D57" i="6"/>
  <c r="E57" i="6" s="1"/>
  <c r="D107" i="10" s="1"/>
  <c r="H353" i="3"/>
  <c r="K353" i="3" s="1"/>
  <c r="D62" i="6"/>
  <c r="E62" i="6" s="1"/>
  <c r="D112" i="10" s="1"/>
  <c r="D60" i="6"/>
  <c r="E60" i="6" s="1"/>
  <c r="D110" i="10" s="1"/>
  <c r="H323" i="3"/>
  <c r="K323" i="3" s="1"/>
  <c r="D61" i="6"/>
  <c r="E61" i="6" s="1"/>
  <c r="D111" i="10" s="1"/>
  <c r="H338" i="3"/>
  <c r="K338" i="3" s="1"/>
  <c r="H296" i="3"/>
  <c r="K296" i="3" s="1"/>
  <c r="D58" i="6"/>
  <c r="E58" i="6" s="1"/>
  <c r="D108" i="10" s="1"/>
  <c r="J370" i="3"/>
  <c r="G371" i="3" s="1"/>
  <c r="H309" i="3"/>
  <c r="K309" i="3" s="1"/>
  <c r="D59" i="6"/>
  <c r="E59" i="6" s="1"/>
  <c r="D109" i="10" s="1"/>
  <c r="H157" i="2"/>
  <c r="K157" i="2" s="1"/>
  <c r="D39" i="6"/>
  <c r="E39" i="6" s="1"/>
  <c r="H265" i="2"/>
  <c r="K265" i="2" s="1"/>
  <c r="D45" i="6"/>
  <c r="E45" i="6" s="1"/>
  <c r="H215" i="2"/>
  <c r="K215" i="2" s="1"/>
  <c r="D42" i="6"/>
  <c r="E42" i="6" s="1"/>
  <c r="D43" i="10"/>
  <c r="K342" i="1"/>
  <c r="D14" i="10"/>
  <c r="K310" i="1"/>
  <c r="D12" i="10"/>
  <c r="D13" i="10"/>
  <c r="K211" i="1"/>
  <c r="G56" i="1"/>
  <c r="H56" i="1" s="1"/>
  <c r="D118" i="10" s="1"/>
  <c r="F71" i="10"/>
  <c r="J190" i="1"/>
  <c r="G191" i="1" s="1"/>
  <c r="H191" i="1" s="1"/>
  <c r="D45" i="10" s="1"/>
  <c r="K74" i="1"/>
  <c r="J74" i="1" s="1"/>
  <c r="G75" i="1" s="1"/>
  <c r="H75" i="1" s="1"/>
  <c r="D122" i="10"/>
  <c r="K372" i="1"/>
  <c r="J372" i="1" s="1"/>
  <c r="G373" i="1" s="1"/>
  <c r="H373" i="1" s="1"/>
  <c r="D120" i="10"/>
  <c r="K37" i="1"/>
  <c r="D151" i="10"/>
  <c r="K144" i="1"/>
  <c r="J144" i="1" s="1"/>
  <c r="D152" i="10"/>
  <c r="Q25" i="6"/>
  <c r="Q28" i="6" s="1"/>
  <c r="Q11" i="6"/>
  <c r="Q14" i="6" s="1"/>
  <c r="A3" i="8"/>
  <c r="J201" i="4"/>
  <c r="G202" i="4" s="1"/>
  <c r="G4" i="16" l="1"/>
  <c r="D348" i="17"/>
  <c r="E348" i="17" s="1"/>
  <c r="E357" i="17" s="1"/>
  <c r="Q348" i="17" s="1"/>
  <c r="Q351" i="17" s="1"/>
  <c r="C30" i="16" s="1"/>
  <c r="F30" i="16" s="1"/>
  <c r="G30" i="16" s="1"/>
  <c r="H116" i="3"/>
  <c r="K116" i="3" s="1"/>
  <c r="J116" i="3" s="1"/>
  <c r="J416" i="3"/>
  <c r="G417" i="3" s="1"/>
  <c r="D312" i="17"/>
  <c r="E312" i="17" s="1"/>
  <c r="H389" i="3"/>
  <c r="K389" i="3" s="1"/>
  <c r="J348" i="2"/>
  <c r="G349" i="2" s="1"/>
  <c r="J370" i="2"/>
  <c r="G371" i="2" s="1"/>
  <c r="J430" i="2"/>
  <c r="G431" i="2" s="1"/>
  <c r="J395" i="2"/>
  <c r="G396" i="2" s="1"/>
  <c r="J326" i="2"/>
  <c r="G327" i="2" s="1"/>
  <c r="K25" i="4"/>
  <c r="J25" i="4" s="1"/>
  <c r="J24" i="4"/>
  <c r="D51" i="10"/>
  <c r="D492" i="10" s="1"/>
  <c r="D20" i="10"/>
  <c r="E18" i="10" s="1"/>
  <c r="A27" i="8" s="1"/>
  <c r="D35" i="10"/>
  <c r="E4" i="8"/>
  <c r="D128" i="6"/>
  <c r="E128" i="6" s="1"/>
  <c r="D227" i="10" s="1"/>
  <c r="H202" i="4"/>
  <c r="K202" i="4" s="1"/>
  <c r="E70" i="10"/>
  <c r="A51" i="8" s="1"/>
  <c r="K5" i="8"/>
  <c r="J452" i="2"/>
  <c r="H222" i="4"/>
  <c r="K222" i="4" s="1"/>
  <c r="D127" i="6"/>
  <c r="E127" i="6" s="1"/>
  <c r="E34" i="10"/>
  <c r="A4" i="8" s="1"/>
  <c r="K229" i="1"/>
  <c r="J229" i="1" s="1"/>
  <c r="K250" i="1"/>
  <c r="J250" i="1" s="1"/>
  <c r="K268" i="1"/>
  <c r="J268" i="1" s="1"/>
  <c r="J37" i="1"/>
  <c r="G38" i="1" s="1"/>
  <c r="H38" i="1" s="1"/>
  <c r="D263" i="10" s="1"/>
  <c r="K281" i="1"/>
  <c r="D94" i="6"/>
  <c r="E94" i="6" s="1"/>
  <c r="E97" i="6" s="1"/>
  <c r="H371" i="3"/>
  <c r="K371" i="3" s="1"/>
  <c r="J342" i="1"/>
  <c r="G343" i="1" s="1"/>
  <c r="H343" i="1" s="1"/>
  <c r="D232" i="10" s="1"/>
  <c r="J211" i="1"/>
  <c r="G212" i="1" s="1"/>
  <c r="H212" i="1" s="1"/>
  <c r="D178" i="10" s="1"/>
  <c r="J310" i="1"/>
  <c r="G311" i="1" s="1"/>
  <c r="H311" i="1" s="1"/>
  <c r="D179" i="10" s="1"/>
  <c r="F42" i="10"/>
  <c r="J23" i="4"/>
  <c r="E10" i="17" s="1"/>
  <c r="D62" i="10"/>
  <c r="J89" i="4"/>
  <c r="D65" i="10"/>
  <c r="J104" i="4"/>
  <c r="D66" i="10"/>
  <c r="J323" i="3"/>
  <c r="G324" i="3" s="1"/>
  <c r="J338" i="3"/>
  <c r="G339" i="3" s="1"/>
  <c r="J353" i="3"/>
  <c r="G354" i="3" s="1"/>
  <c r="J277" i="3"/>
  <c r="G278" i="3" s="1"/>
  <c r="J296" i="3"/>
  <c r="G297" i="3" s="1"/>
  <c r="J309" i="3"/>
  <c r="G310" i="3" s="1"/>
  <c r="J263" i="3"/>
  <c r="G264" i="3" s="1"/>
  <c r="J215" i="2"/>
  <c r="G216" i="2" s="1"/>
  <c r="D64" i="10"/>
  <c r="J265" i="2"/>
  <c r="G266" i="2" s="1"/>
  <c r="D656" i="17" s="1"/>
  <c r="E656" i="17" s="1"/>
  <c r="E657" i="17" s="1"/>
  <c r="Q649" i="17" s="1"/>
  <c r="Q652" i="17" s="1"/>
  <c r="C7" i="16" s="1"/>
  <c r="F7" i="16" s="1"/>
  <c r="G7" i="16" s="1"/>
  <c r="D67" i="10"/>
  <c r="J157" i="2"/>
  <c r="G158" i="2" s="1"/>
  <c r="D61" i="10"/>
  <c r="F11" i="10"/>
  <c r="K56" i="1"/>
  <c r="J56" i="1" s="1"/>
  <c r="G57" i="1" s="1"/>
  <c r="H57" i="1" s="1"/>
  <c r="D148" i="10" s="1"/>
  <c r="K191" i="1"/>
  <c r="K75" i="1"/>
  <c r="D153" i="10"/>
  <c r="K373" i="1"/>
  <c r="D150" i="10"/>
  <c r="F19" i="10" l="1"/>
  <c r="B3" i="8" s="1"/>
  <c r="G159" i="2"/>
  <c r="D9" i="17" s="1"/>
  <c r="D668" i="17"/>
  <c r="E668" i="17" s="1"/>
  <c r="D74" i="6"/>
  <c r="E74" i="6" s="1"/>
  <c r="G217" i="2"/>
  <c r="D12" i="17" s="1"/>
  <c r="E12" i="17" s="1"/>
  <c r="D670" i="17"/>
  <c r="E670" i="17" s="1"/>
  <c r="H417" i="3"/>
  <c r="K417" i="3" s="1"/>
  <c r="J417" i="3" s="1"/>
  <c r="D314" i="17"/>
  <c r="E314" i="17" s="1"/>
  <c r="K26" i="4"/>
  <c r="J26" i="4" s="1"/>
  <c r="H396" i="2"/>
  <c r="K396" i="2" s="1"/>
  <c r="D156" i="17"/>
  <c r="E156" i="17" s="1"/>
  <c r="H431" i="2"/>
  <c r="K431" i="2" s="1"/>
  <c r="D158" i="17"/>
  <c r="E158" i="17" s="1"/>
  <c r="D155" i="17"/>
  <c r="E155" i="17" s="1"/>
  <c r="H371" i="2"/>
  <c r="K371" i="2" s="1"/>
  <c r="H327" i="2"/>
  <c r="K327" i="2" s="1"/>
  <c r="D153" i="17"/>
  <c r="E153" i="17" s="1"/>
  <c r="H349" i="2"/>
  <c r="K349" i="2" s="1"/>
  <c r="D154" i="17"/>
  <c r="E154" i="17" s="1"/>
  <c r="G160" i="2"/>
  <c r="G161" i="2" s="1"/>
  <c r="H159" i="2"/>
  <c r="E49" i="10"/>
  <c r="A28" i="8" s="1"/>
  <c r="F50" i="10"/>
  <c r="B4" i="8" s="1"/>
  <c r="D491" i="10"/>
  <c r="E10" i="10"/>
  <c r="A48" i="8" s="1"/>
  <c r="K3" i="8"/>
  <c r="D226" i="10"/>
  <c r="F225" i="10" s="1"/>
  <c r="E10" i="8" s="1"/>
  <c r="E130" i="6"/>
  <c r="E41" i="10"/>
  <c r="A50" i="8" s="1"/>
  <c r="K4" i="8"/>
  <c r="J281" i="1"/>
  <c r="G282" i="1" s="1"/>
  <c r="H282" i="1" s="1"/>
  <c r="D287" i="10" s="1"/>
  <c r="J222" i="4"/>
  <c r="G223" i="4" s="1"/>
  <c r="J202" i="4"/>
  <c r="G203" i="4" s="1"/>
  <c r="G230" i="1"/>
  <c r="H230" i="1" s="1"/>
  <c r="D312" i="10" s="1"/>
  <c r="G251" i="1"/>
  <c r="K343" i="1"/>
  <c r="J343" i="1" s="1"/>
  <c r="G344" i="1" s="1"/>
  <c r="H344" i="1" s="1"/>
  <c r="D311" i="10" s="1"/>
  <c r="K38" i="1"/>
  <c r="K212" i="1"/>
  <c r="J212" i="1" s="1"/>
  <c r="G213" i="1" s="1"/>
  <c r="H213" i="1" s="1"/>
  <c r="D110" i="6"/>
  <c r="E110" i="6" s="1"/>
  <c r="D197" i="10" s="1"/>
  <c r="H297" i="3"/>
  <c r="H354" i="3"/>
  <c r="K354" i="3" s="1"/>
  <c r="D114" i="6"/>
  <c r="E114" i="6" s="1"/>
  <c r="D201" i="10" s="1"/>
  <c r="H324" i="3"/>
  <c r="K324" i="3" s="1"/>
  <c r="J324" i="3" s="1"/>
  <c r="G325" i="3" s="1"/>
  <c r="D112" i="6"/>
  <c r="E112" i="6" s="1"/>
  <c r="D199" i="10" s="1"/>
  <c r="Q94" i="6"/>
  <c r="Q97" i="6" s="1"/>
  <c r="D170" i="10"/>
  <c r="E169" i="10" s="1"/>
  <c r="A8" i="8" s="1"/>
  <c r="D172" i="10"/>
  <c r="F171" i="10" s="1"/>
  <c r="E8" i="8" s="1"/>
  <c r="H310" i="3"/>
  <c r="D111" i="6"/>
  <c r="E111" i="6" s="1"/>
  <c r="D198" i="10" s="1"/>
  <c r="D109" i="6"/>
  <c r="E109" i="6" s="1"/>
  <c r="D196" i="10" s="1"/>
  <c r="H278" i="3"/>
  <c r="K278" i="3" s="1"/>
  <c r="J278" i="3" s="1"/>
  <c r="G279" i="3" s="1"/>
  <c r="D113" i="6"/>
  <c r="E113" i="6" s="1"/>
  <c r="D200" i="10" s="1"/>
  <c r="H339" i="3"/>
  <c r="K339" i="3" s="1"/>
  <c r="J339" i="3" s="1"/>
  <c r="G340" i="3" s="1"/>
  <c r="D108" i="6"/>
  <c r="E108" i="6" s="1"/>
  <c r="H264" i="3"/>
  <c r="K264" i="3" s="1"/>
  <c r="J371" i="3"/>
  <c r="G372" i="3" s="1"/>
  <c r="H372" i="3" s="1"/>
  <c r="D162" i="6" s="1"/>
  <c r="J373" i="1"/>
  <c r="G374" i="1" s="1"/>
  <c r="H374" i="1" s="1"/>
  <c r="D209" i="10" s="1"/>
  <c r="J75" i="1"/>
  <c r="G76" i="1" s="1"/>
  <c r="H76" i="1" s="1"/>
  <c r="D211" i="10" s="1"/>
  <c r="K311" i="1"/>
  <c r="J191" i="1"/>
  <c r="G192" i="1" s="1"/>
  <c r="H192" i="1" s="1"/>
  <c r="D180" i="10" s="1"/>
  <c r="F176" i="10" s="1"/>
  <c r="D63" i="6"/>
  <c r="E63" i="6" s="1"/>
  <c r="H266" i="2"/>
  <c r="K266" i="2" s="1"/>
  <c r="J266" i="2" s="1"/>
  <c r="G267" i="2" s="1"/>
  <c r="D674" i="17" s="1"/>
  <c r="E674" i="17" s="1"/>
  <c r="H158" i="2"/>
  <c r="K158" i="2" s="1"/>
  <c r="D76" i="6"/>
  <c r="E76" i="6" s="1"/>
  <c r="D139" i="10" s="1"/>
  <c r="H216" i="2"/>
  <c r="K57" i="1"/>
  <c r="J93" i="1"/>
  <c r="G94" i="1" s="1"/>
  <c r="H94" i="1" s="1"/>
  <c r="G218" i="2" l="1"/>
  <c r="D121" i="17" s="1"/>
  <c r="E121" i="17" s="1"/>
  <c r="G162" i="2"/>
  <c r="G163" i="2" s="1"/>
  <c r="G164" i="2" s="1"/>
  <c r="D246" i="17"/>
  <c r="E246" i="17" s="1"/>
  <c r="H161" i="2"/>
  <c r="G219" i="2"/>
  <c r="J371" i="2"/>
  <c r="G372" i="2" s="1"/>
  <c r="J349" i="2"/>
  <c r="G350" i="2" s="1"/>
  <c r="J431" i="2"/>
  <c r="G432" i="2" s="1"/>
  <c r="J327" i="2"/>
  <c r="G328" i="2" s="1"/>
  <c r="J396" i="2"/>
  <c r="G397" i="2" s="1"/>
  <c r="H160" i="2"/>
  <c r="D118" i="17"/>
  <c r="E118" i="17" s="1"/>
  <c r="J158" i="2"/>
  <c r="E9" i="17" s="1"/>
  <c r="K159" i="2"/>
  <c r="K216" i="2"/>
  <c r="H217" i="2"/>
  <c r="H218" i="2" s="1"/>
  <c r="D185" i="10"/>
  <c r="D496" i="10" s="1"/>
  <c r="K282" i="1"/>
  <c r="K374" i="1"/>
  <c r="J374" i="1" s="1"/>
  <c r="G375" i="1" s="1"/>
  <c r="H375" i="1" s="1"/>
  <c r="E175" i="10"/>
  <c r="A55" i="8" s="1"/>
  <c r="K8" i="8"/>
  <c r="K213" i="1"/>
  <c r="D290" i="10"/>
  <c r="D288" i="10"/>
  <c r="J38" i="1"/>
  <c r="G39" i="1" s="1"/>
  <c r="H39" i="1" s="1"/>
  <c r="D396" i="10" s="1"/>
  <c r="J282" i="1"/>
  <c r="G283" i="1" s="1"/>
  <c r="H283" i="1" s="1"/>
  <c r="D365" i="10" s="1"/>
  <c r="H203" i="4"/>
  <c r="K203" i="4" s="1"/>
  <c r="J203" i="4" s="1"/>
  <c r="G204" i="4" s="1"/>
  <c r="D181" i="6"/>
  <c r="E181" i="6" s="1"/>
  <c r="D306" i="10" s="1"/>
  <c r="Q127" i="6"/>
  <c r="Q130" i="6" s="1"/>
  <c r="D240" i="10" s="1"/>
  <c r="D224" i="10"/>
  <c r="E223" i="10" s="1"/>
  <c r="A10" i="8" s="1"/>
  <c r="J311" i="1"/>
  <c r="G312" i="1" s="1"/>
  <c r="H312" i="1" s="1"/>
  <c r="D289" i="10" s="1"/>
  <c r="H223" i="4"/>
  <c r="K223" i="4" s="1"/>
  <c r="D180" i="6"/>
  <c r="E180" i="6" s="1"/>
  <c r="K230" i="1"/>
  <c r="J230" i="1" s="1"/>
  <c r="G231" i="1" s="1"/>
  <c r="H231" i="1" s="1"/>
  <c r="D422" i="10" s="1"/>
  <c r="K192" i="1"/>
  <c r="J192" i="1" s="1"/>
  <c r="G193" i="1" s="1"/>
  <c r="K344" i="1"/>
  <c r="K375" i="1"/>
  <c r="J375" i="1" s="1"/>
  <c r="D343" i="10"/>
  <c r="H251" i="1"/>
  <c r="J354" i="3"/>
  <c r="G355" i="3" s="1"/>
  <c r="H355" i="3" s="1"/>
  <c r="J264" i="3"/>
  <c r="G265" i="3" s="1"/>
  <c r="H279" i="3"/>
  <c r="K279" i="3" s="1"/>
  <c r="J279" i="3" s="1"/>
  <c r="D196" i="6"/>
  <c r="E196" i="6" s="1"/>
  <c r="D330" i="10" s="1"/>
  <c r="D199" i="6"/>
  <c r="E199" i="6" s="1"/>
  <c r="D333" i="10" s="1"/>
  <c r="H325" i="3"/>
  <c r="K325" i="3" s="1"/>
  <c r="J325" i="3" s="1"/>
  <c r="H340" i="3"/>
  <c r="K340" i="3" s="1"/>
  <c r="J340" i="3" s="1"/>
  <c r="D200" i="6"/>
  <c r="E200" i="6" s="1"/>
  <c r="D334" i="10" s="1"/>
  <c r="D282" i="10"/>
  <c r="F281" i="10" s="1"/>
  <c r="E12" i="8" s="1"/>
  <c r="E162" i="6"/>
  <c r="E166" i="6" s="1"/>
  <c r="K372" i="3"/>
  <c r="K310" i="3"/>
  <c r="J310" i="3" s="1"/>
  <c r="G311" i="3" s="1"/>
  <c r="K297" i="3"/>
  <c r="J297" i="3" s="1"/>
  <c r="G298" i="3" s="1"/>
  <c r="D195" i="10"/>
  <c r="J57" i="1"/>
  <c r="G58" i="1" s="1"/>
  <c r="H58" i="1" s="1"/>
  <c r="D207" i="10" s="1"/>
  <c r="K76" i="1"/>
  <c r="J76" i="1" s="1"/>
  <c r="G77" i="1" s="1"/>
  <c r="H77" i="1" s="1"/>
  <c r="D113" i="10"/>
  <c r="F105" i="10" s="1"/>
  <c r="E6" i="8" s="1"/>
  <c r="E64" i="6"/>
  <c r="D137" i="10"/>
  <c r="H267" i="2"/>
  <c r="K267" i="2" s="1"/>
  <c r="J267" i="2" s="1"/>
  <c r="G268" i="2" s="1"/>
  <c r="D80" i="6"/>
  <c r="E80" i="6" s="1"/>
  <c r="D143" i="10" s="1"/>
  <c r="D119" i="10"/>
  <c r="F117" i="10" s="1"/>
  <c r="K94" i="1"/>
  <c r="D501" i="17" l="1"/>
  <c r="E501" i="17" s="1"/>
  <c r="G165" i="2"/>
  <c r="G166" i="2" s="1"/>
  <c r="H164" i="2"/>
  <c r="H163" i="2"/>
  <c r="D484" i="17"/>
  <c r="E484" i="17" s="1"/>
  <c r="H219" i="2"/>
  <c r="D249" i="17"/>
  <c r="E249" i="17" s="1"/>
  <c r="G220" i="2"/>
  <c r="G221" i="2" s="1"/>
  <c r="D309" i="17"/>
  <c r="E309" i="17" s="1"/>
  <c r="H162" i="2"/>
  <c r="D175" i="17"/>
  <c r="E175" i="17" s="1"/>
  <c r="H328" i="2"/>
  <c r="K328" i="2" s="1"/>
  <c r="J328" i="2" s="1"/>
  <c r="G329" i="2" s="1"/>
  <c r="H432" i="2"/>
  <c r="K432" i="2" s="1"/>
  <c r="D180" i="17"/>
  <c r="E180" i="17" s="1"/>
  <c r="D176" i="17"/>
  <c r="E176" i="17" s="1"/>
  <c r="H350" i="2"/>
  <c r="K350" i="2" s="1"/>
  <c r="J350" i="2" s="1"/>
  <c r="G351" i="2" s="1"/>
  <c r="D178" i="17"/>
  <c r="E178" i="17" s="1"/>
  <c r="H397" i="2"/>
  <c r="K397" i="2" s="1"/>
  <c r="J397" i="2" s="1"/>
  <c r="G398" i="2" s="1"/>
  <c r="H372" i="2"/>
  <c r="K372" i="2" s="1"/>
  <c r="J372" i="2" s="1"/>
  <c r="G373" i="2" s="1"/>
  <c r="D177" i="17"/>
  <c r="E177" i="17" s="1"/>
  <c r="K160" i="2"/>
  <c r="J159" i="2"/>
  <c r="J216" i="2"/>
  <c r="K217" i="2"/>
  <c r="F184" i="10"/>
  <c r="B8" i="8" s="1"/>
  <c r="E183" i="10"/>
  <c r="A32" i="8" s="1"/>
  <c r="K312" i="1"/>
  <c r="J312" i="1" s="1"/>
  <c r="G313" i="1" s="1"/>
  <c r="H313" i="1" s="1"/>
  <c r="K39" i="1"/>
  <c r="J39" i="1" s="1"/>
  <c r="E116" i="10"/>
  <c r="A53" i="8" s="1"/>
  <c r="K6" i="8"/>
  <c r="J223" i="4"/>
  <c r="G224" i="4" s="1"/>
  <c r="G225" i="4" s="1"/>
  <c r="J344" i="1"/>
  <c r="G345" i="1" s="1"/>
  <c r="H345" i="1" s="1"/>
  <c r="D421" i="10" s="1"/>
  <c r="F239" i="10"/>
  <c r="D498" i="10"/>
  <c r="J372" i="3"/>
  <c r="G373" i="3" s="1"/>
  <c r="J213" i="1"/>
  <c r="G214" i="1" s="1"/>
  <c r="H214" i="1" s="1"/>
  <c r="D366" i="10" s="1"/>
  <c r="K231" i="1"/>
  <c r="J231" i="1" s="1"/>
  <c r="H204" i="4"/>
  <c r="K204" i="4" s="1"/>
  <c r="D249" i="6"/>
  <c r="E249" i="6" s="1"/>
  <c r="D416" i="10" s="1"/>
  <c r="K355" i="3"/>
  <c r="J355" i="3" s="1"/>
  <c r="D201" i="6"/>
  <c r="E201" i="6" s="1"/>
  <c r="D335" i="10" s="1"/>
  <c r="D305" i="10"/>
  <c r="F304" i="10" s="1"/>
  <c r="E13" i="8" s="1"/>
  <c r="E184" i="6"/>
  <c r="K283" i="1"/>
  <c r="J283" i="1" s="1"/>
  <c r="D115" i="6"/>
  <c r="E115" i="6" s="1"/>
  <c r="H268" i="2"/>
  <c r="K268" i="2" s="1"/>
  <c r="J268" i="2" s="1"/>
  <c r="G269" i="2" s="1"/>
  <c r="D148" i="6" s="1"/>
  <c r="D314" i="10"/>
  <c r="K251" i="1"/>
  <c r="K77" i="1"/>
  <c r="J77" i="1" s="1"/>
  <c r="D266" i="10"/>
  <c r="H193" i="1"/>
  <c r="H311" i="3"/>
  <c r="K311" i="3" s="1"/>
  <c r="J311" i="3" s="1"/>
  <c r="D198" i="6"/>
  <c r="E198" i="6" s="1"/>
  <c r="D332" i="10" s="1"/>
  <c r="D197" i="6"/>
  <c r="E197" i="6" s="1"/>
  <c r="D331" i="10" s="1"/>
  <c r="H298" i="3"/>
  <c r="K298" i="3" s="1"/>
  <c r="J298" i="3" s="1"/>
  <c r="H265" i="3"/>
  <c r="K265" i="3" s="1"/>
  <c r="J265" i="3" s="1"/>
  <c r="D195" i="6"/>
  <c r="E195" i="6" s="1"/>
  <c r="D329" i="10" s="1"/>
  <c r="Q162" i="6"/>
  <c r="Q165" i="6" s="1"/>
  <c r="D295" i="10" s="1"/>
  <c r="D280" i="10"/>
  <c r="E279" i="10" s="1"/>
  <c r="A12" i="8" s="1"/>
  <c r="K58" i="1"/>
  <c r="J58" i="1" s="1"/>
  <c r="G59" i="1" s="1"/>
  <c r="H59" i="1" s="1"/>
  <c r="Q56" i="6"/>
  <c r="Q59" i="6" s="1"/>
  <c r="D104" i="10"/>
  <c r="E103" i="10" s="1"/>
  <c r="A6" i="8" s="1"/>
  <c r="J94" i="1"/>
  <c r="G95" i="1" s="1"/>
  <c r="H95" i="1" s="1"/>
  <c r="D149" i="10" s="1"/>
  <c r="F147" i="10" s="1"/>
  <c r="H166" i="2" l="1"/>
  <c r="D571" i="17"/>
  <c r="E571" i="17" s="1"/>
  <c r="D535" i="17"/>
  <c r="E535" i="17" s="1"/>
  <c r="H165" i="2"/>
  <c r="H221" i="2"/>
  <c r="D487" i="17"/>
  <c r="E487" i="17" s="1"/>
  <c r="G222" i="2"/>
  <c r="D265" i="17"/>
  <c r="E265" i="17" s="1"/>
  <c r="E267" i="17" s="1"/>
  <c r="Q263" i="17" s="1"/>
  <c r="Q266" i="17" s="1"/>
  <c r="C25" i="16" s="1"/>
  <c r="F25" i="16" s="1"/>
  <c r="G25" i="16" s="1"/>
  <c r="D311" i="17"/>
  <c r="E311" i="17" s="1"/>
  <c r="H220" i="2"/>
  <c r="J160" i="2"/>
  <c r="K161" i="2"/>
  <c r="H398" i="2"/>
  <c r="K398" i="2" s="1"/>
  <c r="D197" i="17"/>
  <c r="E197" i="17" s="1"/>
  <c r="H351" i="2"/>
  <c r="K351" i="2" s="1"/>
  <c r="D195" i="17"/>
  <c r="E195" i="17" s="1"/>
  <c r="J432" i="2"/>
  <c r="G433" i="2" s="1"/>
  <c r="H329" i="2"/>
  <c r="K329" i="2" s="1"/>
  <c r="D194" i="17"/>
  <c r="E194" i="17" s="1"/>
  <c r="H373" i="2"/>
  <c r="K373" i="2" s="1"/>
  <c r="D196" i="17"/>
  <c r="E196" i="17" s="1"/>
  <c r="J217" i="2"/>
  <c r="K218" i="2"/>
  <c r="J218" i="2" s="1"/>
  <c r="K214" i="1"/>
  <c r="J214" i="1" s="1"/>
  <c r="J204" i="4"/>
  <c r="G205" i="4" s="1"/>
  <c r="H225" i="4"/>
  <c r="D104" i="17"/>
  <c r="E104" i="17" s="1"/>
  <c r="D127" i="10"/>
  <c r="F126" i="10" s="1"/>
  <c r="Q180" i="6"/>
  <c r="Q183" i="6" s="1"/>
  <c r="D319" i="10" s="1"/>
  <c r="D303" i="10"/>
  <c r="E302" i="10" s="1"/>
  <c r="A13" i="8" s="1"/>
  <c r="D248" i="6"/>
  <c r="E248" i="6" s="1"/>
  <c r="H224" i="4"/>
  <c r="K224" i="4" s="1"/>
  <c r="G78" i="1"/>
  <c r="H78" i="1" s="1"/>
  <c r="J251" i="1"/>
  <c r="G252" i="1" s="1"/>
  <c r="H252" i="1" s="1"/>
  <c r="D424" i="10" s="1"/>
  <c r="H373" i="3"/>
  <c r="D214" i="6"/>
  <c r="E214" i="6" s="1"/>
  <c r="E218" i="6" s="1"/>
  <c r="E146" i="10"/>
  <c r="A54" i="8" s="1"/>
  <c r="K7" i="8"/>
  <c r="E238" i="10"/>
  <c r="A34" i="8" s="1"/>
  <c r="B10" i="8"/>
  <c r="K313" i="1"/>
  <c r="J313" i="1" s="1"/>
  <c r="D367" i="10"/>
  <c r="F294" i="10"/>
  <c r="D500" i="10"/>
  <c r="K345" i="1"/>
  <c r="J345" i="1" s="1"/>
  <c r="H269" i="2"/>
  <c r="K269" i="2" s="1"/>
  <c r="E148" i="6"/>
  <c r="D202" i="10"/>
  <c r="F194" i="10" s="1"/>
  <c r="E9" i="8" s="1"/>
  <c r="E116" i="6"/>
  <c r="K59" i="1"/>
  <c r="D264" i="10"/>
  <c r="F286" i="10"/>
  <c r="D234" i="10"/>
  <c r="F231" i="10" s="1"/>
  <c r="K193" i="1"/>
  <c r="K95" i="1"/>
  <c r="D41" i="6"/>
  <c r="E41" i="6" s="1"/>
  <c r="E46" i="6" s="1"/>
  <c r="H192" i="2"/>
  <c r="D63" i="10" s="1"/>
  <c r="F60" i="10" s="1"/>
  <c r="E5" i="8" s="1"/>
  <c r="H222" i="2" l="1"/>
  <c r="D504" i="17"/>
  <c r="E504" i="17" s="1"/>
  <c r="G223" i="2"/>
  <c r="G224" i="2" s="1"/>
  <c r="K219" i="2"/>
  <c r="J219" i="2" s="1"/>
  <c r="J398" i="2"/>
  <c r="G399" i="2" s="1"/>
  <c r="J373" i="2"/>
  <c r="G374" i="2" s="1"/>
  <c r="J161" i="2"/>
  <c r="K162" i="2"/>
  <c r="J329" i="2"/>
  <c r="G330" i="2" s="1"/>
  <c r="H433" i="2"/>
  <c r="K433" i="2" s="1"/>
  <c r="D199" i="17"/>
  <c r="E199" i="17" s="1"/>
  <c r="J351" i="2"/>
  <c r="G352" i="2" s="1"/>
  <c r="J224" i="4"/>
  <c r="K225" i="4"/>
  <c r="H205" i="4"/>
  <c r="K205" i="4" s="1"/>
  <c r="G206" i="4"/>
  <c r="G207" i="4" s="1"/>
  <c r="D86" i="17"/>
  <c r="E86" i="17" s="1"/>
  <c r="D494" i="10"/>
  <c r="K252" i="1"/>
  <c r="J252" i="1" s="1"/>
  <c r="K78" i="1"/>
  <c r="D345" i="10"/>
  <c r="E230" i="10"/>
  <c r="A57" i="8" s="1"/>
  <c r="K10" i="8"/>
  <c r="E125" i="10"/>
  <c r="A30" i="8" s="1"/>
  <c r="B6" i="8"/>
  <c r="E252" i="6"/>
  <c r="D415" i="10"/>
  <c r="F414" i="10" s="1"/>
  <c r="E17" i="8" s="1"/>
  <c r="Q214" i="6"/>
  <c r="Q217" i="6" s="1"/>
  <c r="D373" i="10" s="1"/>
  <c r="D358" i="10"/>
  <c r="E357" i="10" s="1"/>
  <c r="A15" i="8" s="1"/>
  <c r="E293" i="10"/>
  <c r="A36" i="8" s="1"/>
  <c r="B12" i="8"/>
  <c r="D360" i="10"/>
  <c r="F359" i="10" s="1"/>
  <c r="E15" i="8" s="1"/>
  <c r="K373" i="3"/>
  <c r="J373" i="3" s="1"/>
  <c r="F318" i="10"/>
  <c r="D501" i="10"/>
  <c r="E285" i="10"/>
  <c r="A59" i="8" s="1"/>
  <c r="K12" i="8"/>
  <c r="J269" i="2"/>
  <c r="G270" i="2" s="1"/>
  <c r="D693" i="17" s="1"/>
  <c r="E693" i="17" s="1"/>
  <c r="E694" i="17" s="1"/>
  <c r="Q685" i="17" s="1"/>
  <c r="Q688" i="17" s="1"/>
  <c r="C9" i="16" s="1"/>
  <c r="F9" i="16" s="1"/>
  <c r="G9" i="16" s="1"/>
  <c r="D193" i="10"/>
  <c r="E192" i="10" s="1"/>
  <c r="A9" i="8" s="1"/>
  <c r="Q108" i="6"/>
  <c r="Q111" i="6" s="1"/>
  <c r="D216" i="10" s="1"/>
  <c r="D258" i="10"/>
  <c r="F249" i="10" s="1"/>
  <c r="E11" i="8" s="1"/>
  <c r="E149" i="6"/>
  <c r="J193" i="1"/>
  <c r="G194" i="1" s="1"/>
  <c r="H194" i="1" s="1"/>
  <c r="K194" i="1" s="1"/>
  <c r="J194" i="1" s="1"/>
  <c r="G195" i="1" s="1"/>
  <c r="H195" i="1" s="1"/>
  <c r="K195" i="1" s="1"/>
  <c r="J195" i="1" s="1"/>
  <c r="G196" i="1" s="1"/>
  <c r="H196" i="1" s="1"/>
  <c r="J59" i="1"/>
  <c r="G60" i="1" s="1"/>
  <c r="H60" i="1" s="1"/>
  <c r="D341" i="10" s="1"/>
  <c r="J95" i="1"/>
  <c r="G96" i="1" s="1"/>
  <c r="H96" i="1" s="1"/>
  <c r="D208" i="10" s="1"/>
  <c r="F206" i="10" s="1"/>
  <c r="K192" i="2"/>
  <c r="D59" i="10"/>
  <c r="E58" i="10" s="1"/>
  <c r="A5" i="8" s="1"/>
  <c r="Q39" i="6"/>
  <c r="Q42" i="6" s="1"/>
  <c r="H224" i="2" l="1"/>
  <c r="D574" i="17"/>
  <c r="E574" i="17" s="1"/>
  <c r="H223" i="2"/>
  <c r="D537" i="17"/>
  <c r="E537" i="17" s="1"/>
  <c r="J162" i="2"/>
  <c r="K163" i="2"/>
  <c r="K220" i="2"/>
  <c r="H374" i="2"/>
  <c r="K374" i="2" s="1"/>
  <c r="D216" i="17"/>
  <c r="E216" i="17" s="1"/>
  <c r="J433" i="2"/>
  <c r="G434" i="2" s="1"/>
  <c r="D217" i="17"/>
  <c r="E217" i="17" s="1"/>
  <c r="H399" i="2"/>
  <c r="K399" i="2" s="1"/>
  <c r="H270" i="2"/>
  <c r="D202" i="6" s="1"/>
  <c r="E202" i="6" s="1"/>
  <c r="D336" i="10" s="1"/>
  <c r="F328" i="10" s="1"/>
  <c r="E14" i="8" s="1"/>
  <c r="H207" i="4"/>
  <c r="D233" i="17"/>
  <c r="E233" i="17" s="1"/>
  <c r="E236" i="17" s="1"/>
  <c r="Q232" i="17" s="1"/>
  <c r="Q235" i="17" s="1"/>
  <c r="C23" i="16" s="1"/>
  <c r="F23" i="16" s="1"/>
  <c r="G23" i="16" s="1"/>
  <c r="E91" i="17"/>
  <c r="Q85" i="17" s="1"/>
  <c r="Q88" i="17" s="1"/>
  <c r="C15" i="16" s="1"/>
  <c r="F15" i="16" s="1"/>
  <c r="G15" i="16" s="1"/>
  <c r="H352" i="2"/>
  <c r="K352" i="2" s="1"/>
  <c r="D215" i="17"/>
  <c r="E215" i="17" s="1"/>
  <c r="H330" i="2"/>
  <c r="K330" i="2" s="1"/>
  <c r="D214" i="17"/>
  <c r="E214" i="17" s="1"/>
  <c r="J225" i="4"/>
  <c r="H206" i="4"/>
  <c r="K206" i="4" s="1"/>
  <c r="D103" i="17"/>
  <c r="E103" i="17" s="1"/>
  <c r="J205" i="4"/>
  <c r="D82" i="10"/>
  <c r="D493" i="10" s="1"/>
  <c r="E317" i="10"/>
  <c r="A37" i="8" s="1"/>
  <c r="B13" i="8"/>
  <c r="E205" i="10"/>
  <c r="A56" i="8" s="1"/>
  <c r="K9" i="8"/>
  <c r="Q248" i="6"/>
  <c r="D413" i="10"/>
  <c r="E412" i="10" s="1"/>
  <c r="A17" i="8" s="1"/>
  <c r="F215" i="10"/>
  <c r="D497" i="10"/>
  <c r="K196" i="1"/>
  <c r="D368" i="10"/>
  <c r="F364" i="10" s="1"/>
  <c r="F372" i="10"/>
  <c r="D503" i="10"/>
  <c r="J78" i="1"/>
  <c r="G79" i="1" s="1"/>
  <c r="H79" i="1" s="1"/>
  <c r="D399" i="10" s="1"/>
  <c r="D248" i="10"/>
  <c r="E247" i="10" s="1"/>
  <c r="A11" i="8" s="1"/>
  <c r="Q140" i="6"/>
  <c r="Q143" i="6" s="1"/>
  <c r="D313" i="10"/>
  <c r="F310" i="10" s="1"/>
  <c r="K96" i="1"/>
  <c r="J96" i="1" s="1"/>
  <c r="G97" i="1" s="1"/>
  <c r="H97" i="1" s="1"/>
  <c r="K97" i="1" s="1"/>
  <c r="J97" i="1" s="1"/>
  <c r="G98" i="1" s="1"/>
  <c r="H98" i="1" s="1"/>
  <c r="K60" i="1"/>
  <c r="J192" i="2"/>
  <c r="G193" i="2" s="1"/>
  <c r="G194" i="2" l="1"/>
  <c r="G195" i="2" s="1"/>
  <c r="D120" i="17" s="1"/>
  <c r="E120" i="17" s="1"/>
  <c r="D669" i="17"/>
  <c r="E669" i="17" s="1"/>
  <c r="E675" i="17" s="1"/>
  <c r="Q668" i="17" s="1"/>
  <c r="Q671" i="17" s="1"/>
  <c r="C8" i="16" s="1"/>
  <c r="F8" i="16" s="1"/>
  <c r="J220" i="2"/>
  <c r="K221" i="2"/>
  <c r="J163" i="2"/>
  <c r="K164" i="2"/>
  <c r="J399" i="2"/>
  <c r="G400" i="2" s="1"/>
  <c r="J374" i="2"/>
  <c r="G375" i="2" s="1"/>
  <c r="J352" i="2"/>
  <c r="G353" i="2" s="1"/>
  <c r="J330" i="2"/>
  <c r="G331" i="2" s="1"/>
  <c r="E203" i="6"/>
  <c r="Q195" i="6" s="1"/>
  <c r="Q198" i="6" s="1"/>
  <c r="D350" i="10" s="1"/>
  <c r="K270" i="2"/>
  <c r="J270" i="2" s="1"/>
  <c r="G271" i="2" s="1"/>
  <c r="G272" i="2" s="1"/>
  <c r="G273" i="2" s="1"/>
  <c r="H434" i="2"/>
  <c r="K434" i="2" s="1"/>
  <c r="D219" i="17"/>
  <c r="E219" i="17" s="1"/>
  <c r="J206" i="4"/>
  <c r="K207" i="4"/>
  <c r="J207" i="4" s="1"/>
  <c r="E108" i="17"/>
  <c r="Q102" i="17" s="1"/>
  <c r="Q105" i="17" s="1"/>
  <c r="C16" i="16" s="1"/>
  <c r="F16" i="16" s="1"/>
  <c r="G16" i="16" s="1"/>
  <c r="G196" i="2"/>
  <c r="H195" i="2"/>
  <c r="E80" i="10"/>
  <c r="A29" i="8" s="1"/>
  <c r="F81" i="10"/>
  <c r="B5" i="8" s="1"/>
  <c r="D11" i="17"/>
  <c r="E11" i="17" s="1"/>
  <c r="D272" i="10"/>
  <c r="D499" i="10" s="1"/>
  <c r="K79" i="1"/>
  <c r="J79" i="1" s="1"/>
  <c r="E371" i="10"/>
  <c r="A39" i="8" s="1"/>
  <c r="B15" i="8"/>
  <c r="E309" i="10"/>
  <c r="A60" i="8" s="1"/>
  <c r="K13" i="8"/>
  <c r="E363" i="10"/>
  <c r="A62" i="8" s="1"/>
  <c r="K15" i="8"/>
  <c r="J196" i="1"/>
  <c r="G197" i="1" s="1"/>
  <c r="H197" i="1" s="1"/>
  <c r="D423" i="10" s="1"/>
  <c r="F420" i="10" s="1"/>
  <c r="E214" i="10"/>
  <c r="A33" i="8" s="1"/>
  <c r="B9" i="8"/>
  <c r="J60" i="1"/>
  <c r="G61" i="1" s="1"/>
  <c r="H61" i="1" s="1"/>
  <c r="D397" i="10" s="1"/>
  <c r="D265" i="10"/>
  <c r="F262" i="10" s="1"/>
  <c r="K98" i="1"/>
  <c r="D342" i="10"/>
  <c r="F340" i="10" s="1"/>
  <c r="H193" i="2"/>
  <c r="K193" i="2" s="1"/>
  <c r="D75" i="6"/>
  <c r="E75" i="6" s="1"/>
  <c r="G8" i="16" l="1"/>
  <c r="H194" i="2"/>
  <c r="K194" i="2" s="1"/>
  <c r="J434" i="2"/>
  <c r="G435" i="2" s="1"/>
  <c r="J221" i="2"/>
  <c r="K222" i="2"/>
  <c r="J164" i="2"/>
  <c r="K165" i="2"/>
  <c r="H400" i="2"/>
  <c r="K400" i="2" s="1"/>
  <c r="D333" i="17"/>
  <c r="E333" i="17" s="1"/>
  <c r="D332" i="17"/>
  <c r="E332" i="17" s="1"/>
  <c r="H375" i="2"/>
  <c r="K375" i="2" s="1"/>
  <c r="D331" i="17"/>
  <c r="E331" i="17" s="1"/>
  <c r="H353" i="2"/>
  <c r="K353" i="2" s="1"/>
  <c r="D327" i="10"/>
  <c r="E326" i="10" s="1"/>
  <c r="A14" i="8" s="1"/>
  <c r="H331" i="2"/>
  <c r="K331" i="2" s="1"/>
  <c r="D330" i="17"/>
  <c r="E330" i="17" s="1"/>
  <c r="H196" i="2"/>
  <c r="G197" i="2"/>
  <c r="H273" i="2"/>
  <c r="D124" i="17"/>
  <c r="E124" i="17" s="1"/>
  <c r="F271" i="10"/>
  <c r="E270" i="10" s="1"/>
  <c r="A35" i="8" s="1"/>
  <c r="J193" i="2"/>
  <c r="H272" i="2"/>
  <c r="D15" i="17"/>
  <c r="E15" i="17" s="1"/>
  <c r="E16" i="17" s="1"/>
  <c r="K197" i="1"/>
  <c r="J197" i="1" s="1"/>
  <c r="E261" i="10"/>
  <c r="A58" i="8" s="1"/>
  <c r="K11" i="8"/>
  <c r="K61" i="1"/>
  <c r="J61" i="1" s="1"/>
  <c r="H271" i="2"/>
  <c r="K271" i="2" s="1"/>
  <c r="D236" i="6"/>
  <c r="E236" i="6" s="1"/>
  <c r="F349" i="10"/>
  <c r="D502" i="10"/>
  <c r="E339" i="10"/>
  <c r="A61" i="8" s="1"/>
  <c r="K14" i="8"/>
  <c r="E419" i="10"/>
  <c r="A64" i="8" s="1"/>
  <c r="K17" i="8"/>
  <c r="J98" i="1"/>
  <c r="G99" i="1" s="1"/>
  <c r="H99" i="1" s="1"/>
  <c r="D398" i="10" s="1"/>
  <c r="F395" i="10" s="1"/>
  <c r="E81" i="6"/>
  <c r="D138" i="10"/>
  <c r="F136" i="10" s="1"/>
  <c r="E7" i="8" s="1"/>
  <c r="H435" i="2" l="1"/>
  <c r="K435" i="2" s="1"/>
  <c r="D335" i="17"/>
  <c r="E335" i="17" s="1"/>
  <c r="J165" i="2"/>
  <c r="K166" i="2"/>
  <c r="J166" i="2" s="1"/>
  <c r="J222" i="2"/>
  <c r="K223" i="2"/>
  <c r="J400" i="2"/>
  <c r="G401" i="2" s="1"/>
  <c r="J375" i="2"/>
  <c r="G376" i="2" s="1"/>
  <c r="J331" i="2"/>
  <c r="G332" i="2" s="1"/>
  <c r="J353" i="2"/>
  <c r="G354" i="2" s="1"/>
  <c r="D248" i="17"/>
  <c r="E248" i="17" s="1"/>
  <c r="G198" i="2"/>
  <c r="G199" i="2" s="1"/>
  <c r="G200" i="2" s="1"/>
  <c r="H197" i="2"/>
  <c r="Q9" i="17"/>
  <c r="Q12" i="17" s="1"/>
  <c r="C10" i="16" s="1"/>
  <c r="F10" i="16" s="1"/>
  <c r="E125" i="17"/>
  <c r="Q118" i="17" s="1"/>
  <c r="Q121" i="17" s="1"/>
  <c r="C17" i="16" s="1"/>
  <c r="F17" i="16" s="1"/>
  <c r="G17" i="16" s="1"/>
  <c r="J194" i="2"/>
  <c r="K195" i="2"/>
  <c r="B11" i="8"/>
  <c r="J271" i="2"/>
  <c r="K272" i="2"/>
  <c r="K99" i="1"/>
  <c r="J99" i="1" s="1"/>
  <c r="D391" i="10"/>
  <c r="F382" i="10" s="1"/>
  <c r="E16" i="8" s="1"/>
  <c r="E18" i="8" s="1"/>
  <c r="D19" i="8" s="1"/>
  <c r="E237" i="6"/>
  <c r="C9" i="12" s="1"/>
  <c r="E394" i="10"/>
  <c r="A63" i="8" s="1"/>
  <c r="F517" i="10" s="1"/>
  <c r="K16" i="8"/>
  <c r="K18" i="8" s="1"/>
  <c r="E348" i="10"/>
  <c r="A38" i="8" s="1"/>
  <c r="B14" i="8"/>
  <c r="Q74" i="6"/>
  <c r="Q77" i="6" s="1"/>
  <c r="D135" i="10"/>
  <c r="E134" i="10" s="1"/>
  <c r="A7" i="8" s="1"/>
  <c r="A70" i="8" l="1"/>
  <c r="G10" i="16"/>
  <c r="J223" i="2"/>
  <c r="K224" i="2"/>
  <c r="J224" i="2" s="1"/>
  <c r="J435" i="2"/>
  <c r="G436" i="2" s="1"/>
  <c r="H200" i="2"/>
  <c r="D503" i="17"/>
  <c r="E503" i="17" s="1"/>
  <c r="G201" i="2"/>
  <c r="G202" i="2" s="1"/>
  <c r="H199" i="2"/>
  <c r="D486" i="17"/>
  <c r="E486" i="17" s="1"/>
  <c r="H401" i="2"/>
  <c r="K401" i="2" s="1"/>
  <c r="J401" i="2" s="1"/>
  <c r="G402" i="2" s="1"/>
  <c r="D387" i="17"/>
  <c r="E387" i="17" s="1"/>
  <c r="H376" i="2"/>
  <c r="K376" i="2" s="1"/>
  <c r="J376" i="2" s="1"/>
  <c r="G377" i="2" s="1"/>
  <c r="D386" i="17"/>
  <c r="E386" i="17" s="1"/>
  <c r="D385" i="17"/>
  <c r="E385" i="17" s="1"/>
  <c r="H354" i="2"/>
  <c r="K354" i="2" s="1"/>
  <c r="J354" i="2" s="1"/>
  <c r="G355" i="2" s="1"/>
  <c r="D384" i="17"/>
  <c r="E384" i="17" s="1"/>
  <c r="H332" i="2"/>
  <c r="K332" i="2" s="1"/>
  <c r="J332" i="2" s="1"/>
  <c r="G333" i="2" s="1"/>
  <c r="D310" i="17"/>
  <c r="E310" i="17" s="1"/>
  <c r="H198" i="2"/>
  <c r="J272" i="2"/>
  <c r="K273" i="2"/>
  <c r="J195" i="2"/>
  <c r="K196" i="2"/>
  <c r="D158" i="10"/>
  <c r="F157" i="10" s="1"/>
  <c r="Q228" i="6"/>
  <c r="Q231" i="6" s="1"/>
  <c r="D381" i="10"/>
  <c r="E380" i="10" s="1"/>
  <c r="A16" i="8" s="1"/>
  <c r="D405" i="10" l="1"/>
  <c r="F404" i="10" s="1"/>
  <c r="H202" i="2"/>
  <c r="D573" i="17"/>
  <c r="E573" i="17" s="1"/>
  <c r="H436" i="2"/>
  <c r="K436" i="2" s="1"/>
  <c r="J436" i="2" s="1"/>
  <c r="G437" i="2" s="1"/>
  <c r="H437" i="2" s="1"/>
  <c r="K437" i="2" s="1"/>
  <c r="J437" i="2" s="1"/>
  <c r="G438" i="2" s="1"/>
  <c r="G439" i="2" s="1"/>
  <c r="D389" i="17"/>
  <c r="E389" i="17" s="1"/>
  <c r="E392" i="17" s="1"/>
  <c r="Q383" i="17" s="1"/>
  <c r="Q386" i="17" s="1"/>
  <c r="C32" i="16" s="1"/>
  <c r="F32" i="16" s="1"/>
  <c r="G32" i="16" s="1"/>
  <c r="H402" i="2"/>
  <c r="K402" i="2" s="1"/>
  <c r="J402" i="2" s="1"/>
  <c r="G403" i="2" s="1"/>
  <c r="D407" i="17"/>
  <c r="E407" i="17" s="1"/>
  <c r="H201" i="2"/>
  <c r="D536" i="17"/>
  <c r="E536" i="17" s="1"/>
  <c r="H377" i="2"/>
  <c r="K377" i="2" s="1"/>
  <c r="J377" i="2" s="1"/>
  <c r="G378" i="2" s="1"/>
  <c r="D406" i="17"/>
  <c r="E406" i="17" s="1"/>
  <c r="H355" i="2"/>
  <c r="K355" i="2" s="1"/>
  <c r="J355" i="2" s="1"/>
  <c r="G356" i="2" s="1"/>
  <c r="D405" i="17"/>
  <c r="E405" i="17" s="1"/>
  <c r="H333" i="2"/>
  <c r="K333" i="2" s="1"/>
  <c r="J333" i="2" s="1"/>
  <c r="G334" i="2" s="1"/>
  <c r="D404" i="17"/>
  <c r="E404" i="17" s="1"/>
  <c r="J196" i="2"/>
  <c r="K197" i="2"/>
  <c r="J273" i="2"/>
  <c r="G274" i="2" s="1"/>
  <c r="D495" i="10"/>
  <c r="D504" i="10"/>
  <c r="E156" i="10"/>
  <c r="A31" i="8" s="1"/>
  <c r="B7" i="8"/>
  <c r="H439" i="2" l="1"/>
  <c r="D442" i="17"/>
  <c r="E442" i="17" s="1"/>
  <c r="H403" i="2"/>
  <c r="K403" i="2" s="1"/>
  <c r="J403" i="2" s="1"/>
  <c r="G404" i="2" s="1"/>
  <c r="D440" i="17"/>
  <c r="E440" i="17" s="1"/>
  <c r="D558" i="17"/>
  <c r="E558" i="17" s="1"/>
  <c r="H438" i="2"/>
  <c r="K438" i="2" s="1"/>
  <c r="H356" i="2"/>
  <c r="K356" i="2" s="1"/>
  <c r="J356" i="2" s="1"/>
  <c r="G357" i="2" s="1"/>
  <c r="D438" i="17"/>
  <c r="E438" i="17" s="1"/>
  <c r="D437" i="17"/>
  <c r="E437" i="17" s="1"/>
  <c r="H334" i="2"/>
  <c r="K334" i="2" s="1"/>
  <c r="J334" i="2" s="1"/>
  <c r="G335" i="2" s="1"/>
  <c r="H378" i="2"/>
  <c r="K378" i="2" s="1"/>
  <c r="J378" i="2" s="1"/>
  <c r="G379" i="2" s="1"/>
  <c r="D439" i="17"/>
  <c r="E439" i="17" s="1"/>
  <c r="K198" i="2"/>
  <c r="J197" i="2"/>
  <c r="D160" i="17"/>
  <c r="E160" i="17" s="1"/>
  <c r="H274" i="2"/>
  <c r="K274" i="2" s="1"/>
  <c r="E403" i="10"/>
  <c r="A40" i="8" s="1"/>
  <c r="B16" i="8"/>
  <c r="J438" i="2" l="1"/>
  <c r="K439" i="2"/>
  <c r="J439" i="2" s="1"/>
  <c r="H335" i="2"/>
  <c r="K335" i="2" s="1"/>
  <c r="J335" i="2" s="1"/>
  <c r="D553" i="17"/>
  <c r="E553" i="17" s="1"/>
  <c r="D555" i="17"/>
  <c r="E555" i="17" s="1"/>
  <c r="H379" i="2"/>
  <c r="K379" i="2" s="1"/>
  <c r="J379" i="2" s="1"/>
  <c r="D554" i="17"/>
  <c r="E554" i="17" s="1"/>
  <c r="H357" i="2"/>
  <c r="K357" i="2" s="1"/>
  <c r="J357" i="2" s="1"/>
  <c r="H404" i="2"/>
  <c r="K404" i="2" s="1"/>
  <c r="J404" i="2" s="1"/>
  <c r="D556" i="17"/>
  <c r="E556" i="17" s="1"/>
  <c r="J198" i="2"/>
  <c r="K199" i="2"/>
  <c r="E445" i="17"/>
  <c r="Q436" i="17" s="1"/>
  <c r="Q439" i="17" s="1"/>
  <c r="C35" i="16" s="1"/>
  <c r="F35" i="16" s="1"/>
  <c r="G35" i="16" s="1"/>
  <c r="J274" i="2"/>
  <c r="G275" i="2" s="1"/>
  <c r="E161" i="17"/>
  <c r="Q152" i="17" s="1"/>
  <c r="Q155" i="17" s="1"/>
  <c r="C19" i="16" s="1"/>
  <c r="F19" i="16" s="1"/>
  <c r="G19" i="16" s="1"/>
  <c r="I248" i="6"/>
  <c r="J248" i="6" s="1"/>
  <c r="J252" i="6" s="1"/>
  <c r="C10" i="12" s="1"/>
  <c r="J199" i="2" l="1"/>
  <c r="K200" i="2"/>
  <c r="D182" i="17"/>
  <c r="E182" i="17" s="1"/>
  <c r="E183" i="17" s="1"/>
  <c r="Q174" i="17" s="1"/>
  <c r="Q177" i="17" s="1"/>
  <c r="C20" i="16" s="1"/>
  <c r="F20" i="16" s="1"/>
  <c r="G20" i="16" s="1"/>
  <c r="H275" i="2"/>
  <c r="K275" i="2" s="1"/>
  <c r="Q249" i="6"/>
  <c r="L248" i="6"/>
  <c r="N248" i="6" s="1"/>
  <c r="N252" i="6" s="1"/>
  <c r="J200" i="2" l="1"/>
  <c r="K201" i="2"/>
  <c r="J275" i="2"/>
  <c r="G276" i="2" s="1"/>
  <c r="C11" i="12"/>
  <c r="C12" i="12" s="1"/>
  <c r="C14" i="12" s="1"/>
  <c r="N259" i="6"/>
  <c r="E511" i="10"/>
  <c r="Q250" i="6"/>
  <c r="Q251" i="6" s="1"/>
  <c r="Q256" i="6" s="1"/>
  <c r="J201" i="2" l="1"/>
  <c r="K202" i="2"/>
  <c r="J202" i="2" s="1"/>
  <c r="D201" i="17"/>
  <c r="E201" i="17" s="1"/>
  <c r="E202" i="17" s="1"/>
  <c r="Q193" i="17" s="1"/>
  <c r="Q196" i="17" s="1"/>
  <c r="C21" i="16" s="1"/>
  <c r="F21" i="16" s="1"/>
  <c r="G21" i="16" s="1"/>
  <c r="H276" i="2"/>
  <c r="K276" i="2" s="1"/>
  <c r="D429" i="10"/>
  <c r="D505" i="10" s="1"/>
  <c r="F490" i="10" s="1"/>
  <c r="F512" i="10"/>
  <c r="H3" i="8" s="1"/>
  <c r="A20" i="8"/>
  <c r="A21" i="8" s="1"/>
  <c r="F428" i="10" l="1"/>
  <c r="E427" i="10" s="1"/>
  <c r="A41" i="8" s="1"/>
  <c r="A42" i="8" s="1"/>
  <c r="J276" i="2"/>
  <c r="G277" i="2" s="1"/>
  <c r="E515" i="10"/>
  <c r="B27" i="8"/>
  <c r="B42" i="8" s="1"/>
  <c r="E489" i="10"/>
  <c r="J27" i="8" s="1"/>
  <c r="B17" i="8" l="1"/>
  <c r="B21" i="8" s="1"/>
  <c r="A22" i="8" s="1"/>
  <c r="C15" i="12" s="1"/>
  <c r="H277" i="2"/>
  <c r="K277" i="2" s="1"/>
  <c r="D221" i="17"/>
  <c r="E221" i="17" s="1"/>
  <c r="E222" i="17" s="1"/>
  <c r="Q213" i="17" s="1"/>
  <c r="Q216" i="17" s="1"/>
  <c r="C22" i="16" s="1"/>
  <c r="F22" i="16" s="1"/>
  <c r="G22" i="16" s="1"/>
  <c r="E516" i="10"/>
  <c r="J104" i="8" s="1"/>
  <c r="C21" i="12" s="1"/>
  <c r="G3" i="8"/>
  <c r="G18" i="8" s="1"/>
  <c r="J277" i="2" l="1"/>
  <c r="G278" i="2" s="1"/>
  <c r="C16" i="12"/>
  <c r="C18" i="12" s="1"/>
  <c r="C20" i="12" s="1"/>
  <c r="C22" i="12" s="1"/>
  <c r="D252" i="17" l="1"/>
  <c r="E252" i="17" s="1"/>
  <c r="E253" i="17" s="1"/>
  <c r="Q246" i="17" s="1"/>
  <c r="Q249" i="17" s="1"/>
  <c r="C24" i="16" s="1"/>
  <c r="F24" i="16" s="1"/>
  <c r="G24" i="16" s="1"/>
  <c r="H278" i="2"/>
  <c r="K278" i="2" s="1"/>
  <c r="J278" i="2" l="1"/>
  <c r="G279" i="2" s="1"/>
  <c r="H279" i="2" l="1"/>
  <c r="K279" i="2" s="1"/>
  <c r="D315" i="17"/>
  <c r="E315" i="17" s="1"/>
  <c r="E319" i="17" s="1"/>
  <c r="Q309" i="17" s="1"/>
  <c r="Q312" i="17" s="1"/>
  <c r="C28" i="16" s="1"/>
  <c r="F28" i="16" s="1"/>
  <c r="G28" i="16" s="1"/>
  <c r="J279" i="2" l="1"/>
  <c r="G280" i="2" s="1"/>
  <c r="H280" i="2" l="1"/>
  <c r="K280" i="2" s="1"/>
  <c r="J280" i="2" s="1"/>
  <c r="G281" i="2" s="1"/>
  <c r="D337" i="17"/>
  <c r="E337" i="17" s="1"/>
  <c r="E338" i="17" s="1"/>
  <c r="Q329" i="17" s="1"/>
  <c r="Q332" i="17" s="1"/>
  <c r="C29" i="16" s="1"/>
  <c r="F29" i="16" s="1"/>
  <c r="G29" i="16" s="1"/>
  <c r="H281" i="2" l="1"/>
  <c r="K281" i="2" s="1"/>
  <c r="J281" i="2" s="1"/>
  <c r="G282" i="2" s="1"/>
  <c r="D411" i="17"/>
  <c r="E411" i="17" s="1"/>
  <c r="E412" i="17" s="1"/>
  <c r="Q403" i="17" s="1"/>
  <c r="Q406" i="17" s="1"/>
  <c r="C33" i="16" s="1"/>
  <c r="F33" i="16" s="1"/>
  <c r="G33" i="16" s="1"/>
  <c r="H282" i="2" l="1"/>
  <c r="K282" i="2" s="1"/>
  <c r="J282" i="2" s="1"/>
  <c r="G283" i="2" s="1"/>
  <c r="D490" i="17"/>
  <c r="E490" i="17" s="1"/>
  <c r="E491" i="17" s="1"/>
  <c r="Q484" i="17" s="1"/>
  <c r="Q487" i="17" s="1"/>
  <c r="C38" i="16" s="1"/>
  <c r="F38" i="16" s="1"/>
  <c r="G38" i="16" s="1"/>
  <c r="H283" i="2" l="1"/>
  <c r="K283" i="2" s="1"/>
  <c r="J283" i="2" s="1"/>
  <c r="G284" i="2" s="1"/>
  <c r="D507" i="17"/>
  <c r="E507" i="17" s="1"/>
  <c r="E508" i="17" s="1"/>
  <c r="Q501" i="17" s="1"/>
  <c r="Q504" i="17" s="1"/>
  <c r="C39" i="16" s="1"/>
  <c r="F39" i="16" s="1"/>
  <c r="G39" i="16" s="1"/>
  <c r="D541" i="17" l="1"/>
  <c r="E541" i="17" s="1"/>
  <c r="E542" i="17" s="1"/>
  <c r="Q535" i="17" s="1"/>
  <c r="Q538" i="17" s="1"/>
  <c r="C41" i="16" s="1"/>
  <c r="F41" i="16" s="1"/>
  <c r="G41" i="16" s="1"/>
  <c r="H284" i="2"/>
  <c r="K284" i="2" s="1"/>
  <c r="J284" i="2" s="1"/>
  <c r="G285" i="2" s="1"/>
  <c r="D560" i="17" l="1"/>
  <c r="E560" i="17" s="1"/>
  <c r="E561" i="17" s="1"/>
  <c r="Q552" i="17" s="1"/>
  <c r="Q555" i="17" s="1"/>
  <c r="C42" i="16" s="1"/>
  <c r="F42" i="16" s="1"/>
  <c r="G42" i="16" s="1"/>
  <c r="H285" i="2"/>
  <c r="K285" i="2" s="1"/>
  <c r="J285" i="2" s="1"/>
  <c r="G286" i="2" s="1"/>
  <c r="G287" i="2" s="1"/>
  <c r="D444" i="17" l="1"/>
  <c r="E444" i="17" s="1"/>
  <c r="H287" i="2"/>
  <c r="D577" i="17"/>
  <c r="E577" i="17" s="1"/>
  <c r="E578" i="17" s="1"/>
  <c r="Q571" i="17" s="1"/>
  <c r="Q574" i="17" s="1"/>
  <c r="C43" i="16" s="1"/>
  <c r="F43" i="16" s="1"/>
  <c r="H286" i="2"/>
  <c r="K286" i="2" s="1"/>
  <c r="J286" i="2" l="1"/>
  <c r="K287" i="2"/>
  <c r="J287" i="2" s="1"/>
  <c r="G43" i="16"/>
  <c r="G45" i="16" s="1"/>
  <c r="F45" i="16"/>
  <c r="H34" i="16" l="1"/>
  <c r="H36" i="16"/>
  <c r="H27" i="16"/>
  <c r="H37" i="16"/>
  <c r="H44" i="16"/>
  <c r="H31" i="16"/>
  <c r="H12" i="16"/>
  <c r="H6" i="16"/>
  <c r="H26" i="16"/>
  <c r="H14" i="16"/>
  <c r="H5" i="16"/>
  <c r="H13" i="16"/>
  <c r="H11" i="16"/>
  <c r="H40" i="16"/>
  <c r="H18" i="16"/>
  <c r="H30" i="16"/>
  <c r="H4" i="16"/>
  <c r="H7" i="16"/>
  <c r="H25" i="16"/>
  <c r="H9" i="16"/>
  <c r="H23" i="16"/>
  <c r="H15" i="16"/>
  <c r="H16" i="16"/>
  <c r="H8" i="16"/>
  <c r="H17" i="16"/>
  <c r="H10" i="16"/>
  <c r="H32" i="16"/>
  <c r="H35" i="16"/>
  <c r="H19" i="16"/>
  <c r="H20" i="16"/>
  <c r="H21" i="16"/>
  <c r="H22" i="16"/>
  <c r="H24" i="16"/>
  <c r="H28" i="16"/>
  <c r="H29" i="16"/>
  <c r="H33" i="16"/>
  <c r="H38" i="16"/>
  <c r="H39" i="16"/>
  <c r="H41" i="16"/>
  <c r="H42" i="16"/>
  <c r="H43" i="16"/>
  <c r="H45" i="16" l="1"/>
</calcChain>
</file>

<file path=xl/sharedStrings.xml><?xml version="1.0" encoding="utf-8"?>
<sst xmlns="http://schemas.openxmlformats.org/spreadsheetml/2006/main" count="6703" uniqueCount="711">
  <si>
    <t>Fecha</t>
  </si>
  <si>
    <t>Detalle</t>
  </si>
  <si>
    <t>ENTRADAS</t>
  </si>
  <si>
    <t>SALIDAS</t>
  </si>
  <si>
    <t>SALDO</t>
  </si>
  <si>
    <t>Cantidad</t>
  </si>
  <si>
    <t>Valor unitario</t>
  </si>
  <si>
    <t>Valor total</t>
  </si>
  <si>
    <t xml:space="preserve">Item: </t>
  </si>
  <si>
    <t xml:space="preserve">Unidad: </t>
  </si>
  <si>
    <t xml:space="preserve">Lacbi Laboratorio Clínico Bacteriológico Cía. Ltda. </t>
  </si>
  <si>
    <t>Kardex</t>
  </si>
  <si>
    <t>Tipo:</t>
  </si>
  <si>
    <t>Hisopos</t>
  </si>
  <si>
    <t>Cinta control esterilización</t>
  </si>
  <si>
    <t>Aguja descartable al vacío</t>
  </si>
  <si>
    <t>Torunda de algodón Sana</t>
  </si>
  <si>
    <t>Alcohol antiséptico</t>
  </si>
  <si>
    <t>Agujas intramusculares pediátricas (puntas azules)</t>
  </si>
  <si>
    <t>Aguja intravenosa- intramuscular (puntas amarillas)</t>
  </si>
  <si>
    <t>Copas plásticas pediátricas</t>
  </si>
  <si>
    <t>Kit ginecológico</t>
  </si>
  <si>
    <t>Cubre objetos 24x50</t>
  </si>
  <si>
    <t>Porta objetos</t>
  </si>
  <si>
    <t>Pipetas Pasteur</t>
  </si>
  <si>
    <t>Cubre objetos 22x22</t>
  </si>
  <si>
    <t>Guantes</t>
  </si>
  <si>
    <t xml:space="preserve">Tubo tapa lila 4ml </t>
  </si>
  <si>
    <t xml:space="preserve">Tubo tapa roja </t>
  </si>
  <si>
    <t xml:space="preserve">Tubo de plástico </t>
  </si>
  <si>
    <t>Punta de plástico para grupo sanguíneo</t>
  </si>
  <si>
    <t>Láminas Unisystem</t>
  </si>
  <si>
    <t>Papel Toalla</t>
  </si>
  <si>
    <t>Palillos</t>
  </si>
  <si>
    <t>Gasa</t>
  </si>
  <si>
    <t>Curitas Cure Band Redondas</t>
  </si>
  <si>
    <t>Aguja intradérmica ( puntas blancas)</t>
  </si>
  <si>
    <t xml:space="preserve">Frascos recolectores  de orina </t>
  </si>
  <si>
    <t>Cajas para muestra de heces</t>
  </si>
  <si>
    <t>Porta objetos filo esmerilado</t>
  </si>
  <si>
    <t>Asa calibrada</t>
  </si>
  <si>
    <t>cajas</t>
  </si>
  <si>
    <t>inventario inicial</t>
  </si>
  <si>
    <t>Compra según fc# 833</t>
  </si>
  <si>
    <t>caja</t>
  </si>
  <si>
    <t>paquetes</t>
  </si>
  <si>
    <t xml:space="preserve">caja </t>
  </si>
  <si>
    <t>fundas</t>
  </si>
  <si>
    <t xml:space="preserve">Método: </t>
  </si>
  <si>
    <t>Promedio ponderado</t>
  </si>
  <si>
    <t xml:space="preserve">Tipo: </t>
  </si>
  <si>
    <t>500 unidades</t>
  </si>
  <si>
    <t>100 unidades</t>
  </si>
  <si>
    <t xml:space="preserve"> 30 unidades de 50metrso c/ u</t>
  </si>
  <si>
    <t>1000 unidades</t>
  </si>
  <si>
    <t xml:space="preserve">paquetes </t>
  </si>
  <si>
    <t>50 unidades</t>
  </si>
  <si>
    <t>50 pares</t>
  </si>
  <si>
    <t xml:space="preserve">cajas </t>
  </si>
  <si>
    <t xml:space="preserve">paquete </t>
  </si>
  <si>
    <t>200 unidades</t>
  </si>
  <si>
    <t>frascos</t>
  </si>
  <si>
    <t>500 láminas</t>
  </si>
  <si>
    <t>3 rollos, 80 hojas</t>
  </si>
  <si>
    <t>paquete</t>
  </si>
  <si>
    <t>Agar Müeller Hinton</t>
  </si>
  <si>
    <t>frasco</t>
  </si>
  <si>
    <t>500 mililitros</t>
  </si>
  <si>
    <t>Caldo BHI 3ml (brain, herat infusion)</t>
  </si>
  <si>
    <t>Discos de antibióticos (1 de c/vial)</t>
  </si>
  <si>
    <t>50 discos</t>
  </si>
  <si>
    <t>Cloruro de Bario 1%</t>
  </si>
  <si>
    <t xml:space="preserve">frasco </t>
  </si>
  <si>
    <t>1000 mililitros</t>
  </si>
  <si>
    <t>Ácido sulfúrico 1%</t>
  </si>
  <si>
    <t>Tego 2% (Desinfectante y bactericida)</t>
  </si>
  <si>
    <t>Kit para sangre oculta</t>
  </si>
  <si>
    <t>kit</t>
  </si>
  <si>
    <t>50 tiras</t>
  </si>
  <si>
    <t>Reactivo VDRL</t>
  </si>
  <si>
    <t>250 test</t>
  </si>
  <si>
    <t>Reactivo ASTO</t>
  </si>
  <si>
    <t>50 test</t>
  </si>
  <si>
    <t>Reactivo RF</t>
  </si>
  <si>
    <t>HIV 1&amp;2 AB/AG</t>
  </si>
  <si>
    <t>96  test</t>
  </si>
  <si>
    <t>ABS Reactivo 1</t>
  </si>
  <si>
    <t>Verificador de Enzimas</t>
  </si>
  <si>
    <t>Control normal   BIO-RAD</t>
  </si>
  <si>
    <t>Control patológico BIO-RAD</t>
  </si>
  <si>
    <t>Flex TGP</t>
  </si>
  <si>
    <t>100 mililitros</t>
  </si>
  <si>
    <t>Flex TGP calibrador y control</t>
  </si>
  <si>
    <t>Control externo</t>
  </si>
  <si>
    <t>Flex TGO</t>
  </si>
  <si>
    <t>Flex TGO calibrador y control</t>
  </si>
  <si>
    <t xml:space="preserve">Wash Solution </t>
  </si>
  <si>
    <t>Sustrato</t>
  </si>
  <si>
    <t>Alcohol Industrial</t>
  </si>
  <si>
    <t>Standard</t>
  </si>
  <si>
    <t>Beta HCG</t>
  </si>
  <si>
    <t>Calibradores Monlab</t>
  </si>
  <si>
    <t>Control Beta HCG</t>
  </si>
  <si>
    <t>Control FT3</t>
  </si>
  <si>
    <t>50 mililitros</t>
  </si>
  <si>
    <t>Control FT4</t>
  </si>
  <si>
    <t>Control TSH</t>
  </si>
  <si>
    <t>Control Estradiol</t>
  </si>
  <si>
    <t xml:space="preserve">Control LH </t>
  </si>
  <si>
    <t>Control FSH</t>
  </si>
  <si>
    <t>Control Prolactina</t>
  </si>
  <si>
    <t>Control Progesterona</t>
  </si>
  <si>
    <t>FT3</t>
  </si>
  <si>
    <t>FT4</t>
  </si>
  <si>
    <t xml:space="preserve">TSH  </t>
  </si>
  <si>
    <t>LH</t>
  </si>
  <si>
    <t>Estradiol</t>
  </si>
  <si>
    <t xml:space="preserve">FSH </t>
  </si>
  <si>
    <t xml:space="preserve">Prolactina </t>
  </si>
  <si>
    <t>Progesterona</t>
  </si>
  <si>
    <t>Aceite de Inmersión</t>
  </si>
  <si>
    <t>1000  mililitros</t>
  </si>
  <si>
    <t>Fijador para Papanicolaou</t>
  </si>
  <si>
    <t>100  mililitros</t>
  </si>
  <si>
    <t>Lubricante para Papanicolaou</t>
  </si>
  <si>
    <t>tubo</t>
  </si>
  <si>
    <t>120  mililitros</t>
  </si>
  <si>
    <t>Alcohol potable para Papanicolaou</t>
  </si>
  <si>
    <t>Hematoxilina</t>
  </si>
  <si>
    <t>OG-6</t>
  </si>
  <si>
    <t>EA-50</t>
  </si>
  <si>
    <t>Xilol</t>
  </si>
  <si>
    <t>Permount</t>
  </si>
  <si>
    <t xml:space="preserve">Kit Hemoglobina Glicosilada </t>
  </si>
  <si>
    <t>Kit</t>
  </si>
  <si>
    <t>Bilirrubinas</t>
  </si>
  <si>
    <t>ABX Diluyente</t>
  </si>
  <si>
    <t>120 mililitros</t>
  </si>
  <si>
    <t>ABX Basolyse II</t>
  </si>
  <si>
    <t>ABX Cleaner</t>
  </si>
  <si>
    <t xml:space="preserve">ABX Eosinofix </t>
  </si>
  <si>
    <t>ABX Lysebio/Alphalyse</t>
  </si>
  <si>
    <t>ABX Minoclair</t>
  </si>
  <si>
    <t>Control Interno</t>
  </si>
  <si>
    <t>500  mililitros</t>
  </si>
  <si>
    <t>Tiras reactivas Combur</t>
  </si>
  <si>
    <t>100 test</t>
  </si>
  <si>
    <t>Flex Colesterol</t>
  </si>
  <si>
    <t>Flex Colesterol calibrador y control</t>
  </si>
  <si>
    <t>Calibrador Colesterol</t>
  </si>
  <si>
    <t>Reactivo LDL</t>
  </si>
  <si>
    <t xml:space="preserve">CHOD PAP </t>
  </si>
  <si>
    <t>Agua destilada</t>
  </si>
  <si>
    <t>Calibrador HDL</t>
  </si>
  <si>
    <t>Flex HDL</t>
  </si>
  <si>
    <t>Flex HDL calibrador y control</t>
  </si>
  <si>
    <t>Calibrador CHEM II</t>
  </si>
  <si>
    <t>Flex Triglicéridos</t>
  </si>
  <si>
    <t>Flex Trigliceridos calibrador y control</t>
  </si>
  <si>
    <t>Calibrador 3 niveles (Chem I Cal)</t>
  </si>
  <si>
    <t>Flex Acido Úrico</t>
  </si>
  <si>
    <t>80  mililitros</t>
  </si>
  <si>
    <t>Flex Acido Urico calibrador y control</t>
  </si>
  <si>
    <t>Flex Creatinina</t>
  </si>
  <si>
    <t>Flex Creatinina calibrador y control</t>
  </si>
  <si>
    <t>Flex reactivo glucosa (Reactivo 1)</t>
  </si>
  <si>
    <t>300 mililitros</t>
  </si>
  <si>
    <t>Flex reactivo glucosa calib. Y control(Reactivo 1)</t>
  </si>
  <si>
    <t>ABD / RH</t>
  </si>
  <si>
    <t>Diluyente para grupo sanguíneo</t>
  </si>
  <si>
    <t>Control Interno para grupo sanguíneo</t>
  </si>
  <si>
    <t>Agar base de sangre / Mac Conkey / Caja Bi Petri</t>
  </si>
  <si>
    <t>Wright</t>
  </si>
  <si>
    <t>Formalina al 10%</t>
  </si>
  <si>
    <t>Iodo lugol</t>
  </si>
  <si>
    <t>Solucion salina</t>
  </si>
  <si>
    <t xml:space="preserve">500 mililitros </t>
  </si>
  <si>
    <t xml:space="preserve">200 mililitros </t>
  </si>
  <si>
    <t>Kit Coloración Gram</t>
  </si>
  <si>
    <t xml:space="preserve">50 mililitros </t>
  </si>
  <si>
    <t xml:space="preserve">KIT Rotavirus </t>
  </si>
  <si>
    <t xml:space="preserve">96 test </t>
  </si>
  <si>
    <t xml:space="preserve">tiras de prueba de embarazo </t>
  </si>
  <si>
    <t xml:space="preserve">50 test </t>
  </si>
  <si>
    <t>Cristal violeta</t>
  </si>
  <si>
    <t>Diluyente Beta HCG</t>
  </si>
  <si>
    <t>Diluyente FT3</t>
  </si>
  <si>
    <t xml:space="preserve">100 mililitros </t>
  </si>
  <si>
    <t>Diluyente FT4</t>
  </si>
  <si>
    <t>Diluyente TSH</t>
  </si>
  <si>
    <t>Diluyente progesterona</t>
  </si>
  <si>
    <t>Diluyente prolactina</t>
  </si>
  <si>
    <t>Diluyente FSH</t>
  </si>
  <si>
    <t>Diluyente LH</t>
  </si>
  <si>
    <t>Diluyente Estradiol</t>
  </si>
  <si>
    <t>Diluyente PSA</t>
  </si>
  <si>
    <t>PARCIAL</t>
  </si>
  <si>
    <t>DEBE</t>
  </si>
  <si>
    <t>HABER</t>
  </si>
  <si>
    <t>Deetalle</t>
  </si>
  <si>
    <t>Inv. Materia prima directa</t>
  </si>
  <si>
    <t>Flex Urea calibrador y control</t>
  </si>
  <si>
    <t>Flex urea</t>
  </si>
  <si>
    <t xml:space="preserve">Compra según fc#20637 </t>
  </si>
  <si>
    <t>Inv. Materia prima indirecta</t>
  </si>
  <si>
    <t>Tubo tapa roja</t>
  </si>
  <si>
    <t>12% IVA por cobrar</t>
  </si>
  <si>
    <t>Bancos</t>
  </si>
  <si>
    <t>Hoja de costos por órdenes de trabajo</t>
  </si>
  <si>
    <t>Cliente:</t>
  </si>
  <si>
    <t>Orden de trabajo N°:</t>
  </si>
  <si>
    <t>Especificaciones:</t>
  </si>
  <si>
    <t>Materia Prima Directa</t>
  </si>
  <si>
    <t>Mano de Obra Directa</t>
  </si>
  <si>
    <t>Cant.</t>
  </si>
  <si>
    <t>Costo unitario</t>
  </si>
  <si>
    <t>Costo Total</t>
  </si>
  <si>
    <t>Boleta de tiempo #</t>
  </si>
  <si>
    <t>Horas</t>
  </si>
  <si>
    <t>Costo Hora</t>
  </si>
  <si>
    <t>total</t>
  </si>
  <si>
    <t>Costos Indirectos de Fabricación  (Aplicados)</t>
  </si>
  <si>
    <t>RESUMEN</t>
  </si>
  <si>
    <t>Unidades producidas</t>
  </si>
  <si>
    <t>Tasa predeterm.</t>
  </si>
  <si>
    <t>+ MPD</t>
  </si>
  <si>
    <t>+ MOD</t>
  </si>
  <si>
    <t>+ CIF aplicados</t>
  </si>
  <si>
    <t>Examen:</t>
  </si>
  <si>
    <t>Control normal Bio-Rad</t>
  </si>
  <si>
    <t>Control patológico Bio-Rad</t>
  </si>
  <si>
    <t>Beta HCG Cualitativa</t>
  </si>
  <si>
    <t>Diluyente para hormonas Beta</t>
  </si>
  <si>
    <t>Wash</t>
  </si>
  <si>
    <t xml:space="preserve">Sustrato </t>
  </si>
  <si>
    <t>Calibradores</t>
  </si>
  <si>
    <t>Controles Beta HGC</t>
  </si>
  <si>
    <t>Biometria</t>
  </si>
  <si>
    <t>Control Externo</t>
  </si>
  <si>
    <t>Colesterol total</t>
  </si>
  <si>
    <t>Coproparasitario</t>
  </si>
  <si>
    <t>Solucion de iodo-lugol</t>
  </si>
  <si>
    <t>Glucosa</t>
  </si>
  <si>
    <t>octubre</t>
  </si>
  <si>
    <t>Elemental y microscópico de orina</t>
  </si>
  <si>
    <t>CIF Real</t>
  </si>
  <si>
    <t>2% Imp. Renta  por pagar</t>
  </si>
  <si>
    <t>100% Retención IVA  por pagar</t>
  </si>
  <si>
    <t>8% Retención  Imp. Renta por pagar</t>
  </si>
  <si>
    <t>Energia electrica</t>
  </si>
  <si>
    <t xml:space="preserve">Agua </t>
  </si>
  <si>
    <t>Telefonia e internet</t>
  </si>
  <si>
    <t>Gasto Administrativo</t>
  </si>
  <si>
    <t>Nombres y Apellidos</t>
  </si>
  <si>
    <t xml:space="preserve">Cargo </t>
  </si>
  <si>
    <t>Décimo tercer sueldo</t>
  </si>
  <si>
    <t>Décimo cuarto sueldo</t>
  </si>
  <si>
    <t>Vacaciones</t>
  </si>
  <si>
    <t>Fondo de reserva</t>
  </si>
  <si>
    <t>Aporte Patronal 12,15%</t>
  </si>
  <si>
    <t>Uniformes</t>
  </si>
  <si>
    <t>Total por empleado</t>
  </si>
  <si>
    <t xml:space="preserve">Sánchez Fabiola </t>
  </si>
  <si>
    <t>Gerente adminsitrativa</t>
  </si>
  <si>
    <t xml:space="preserve">Barreno  Gabriela </t>
  </si>
  <si>
    <t>Secretaria</t>
  </si>
  <si>
    <t>Total Gasto Administrativo</t>
  </si>
  <si>
    <t>Cuadro N°</t>
  </si>
  <si>
    <t xml:space="preserve">Lacbi Laboratorio Clínico Bacteriológico Cia. Ltda. </t>
  </si>
  <si>
    <t xml:space="preserve"> Almeida Gabriela </t>
  </si>
  <si>
    <t>Auxiliar de laboratorio</t>
  </si>
  <si>
    <t>Artieda Silvana</t>
  </si>
  <si>
    <t xml:space="preserve"> García Katerine</t>
  </si>
  <si>
    <t>Guerrero  Patricia</t>
  </si>
  <si>
    <t>Torres Stephany</t>
  </si>
  <si>
    <t xml:space="preserve">Total  Mano de Obra Directa </t>
  </si>
  <si>
    <t xml:space="preserve">De la Torre Kenny </t>
  </si>
  <si>
    <t>Jefe de laboratorio</t>
  </si>
  <si>
    <t>Total  Mano de Obra Indirecta</t>
  </si>
  <si>
    <t>Mano de Obra Indirecta</t>
  </si>
  <si>
    <t>Sueldo Básico</t>
  </si>
  <si>
    <t>Bono por responsabilidad</t>
  </si>
  <si>
    <t>Fondo de Reserva</t>
  </si>
  <si>
    <t>Total Ingresos</t>
  </si>
  <si>
    <t>Aporte IESS 9,45%</t>
  </si>
  <si>
    <t>Anticipo de Sueldo</t>
  </si>
  <si>
    <t>Prestamo IESS</t>
  </si>
  <si>
    <t>Total  Descuentos</t>
  </si>
  <si>
    <t>Valor a Recibir</t>
  </si>
  <si>
    <t>Fondo de reserva por pagar</t>
  </si>
  <si>
    <t xml:space="preserve">Nómina Laboratorio </t>
  </si>
  <si>
    <t>Prestamo IESS por pagar</t>
  </si>
  <si>
    <t>Anticipo Sueldos</t>
  </si>
  <si>
    <t>Anticipo sueldos</t>
  </si>
  <si>
    <t>Inv. Productos en Proceso</t>
  </si>
  <si>
    <t xml:space="preserve">CIF Real </t>
  </si>
  <si>
    <t>rf/ distribución rol de pagos porareas</t>
  </si>
  <si>
    <t>rf/ pago sueldos del mes de octubre</t>
  </si>
  <si>
    <t>rf/ se anticipa el sueldo a los empleados</t>
  </si>
  <si>
    <t>rf/ pago arriendo laboratorios</t>
  </si>
  <si>
    <t xml:space="preserve">rf/ pago MakroSecurity por servicio de monitoreo </t>
  </si>
  <si>
    <t>rf/ utilización de materia prima directa según requisición # 001</t>
  </si>
  <si>
    <t xml:space="preserve">Rol de Pagos Octubre </t>
  </si>
  <si>
    <t>Rol de Provisiones Octubre</t>
  </si>
  <si>
    <t>Total Rol de Pagos</t>
  </si>
  <si>
    <t xml:space="preserve"> Ingresos Normales</t>
  </si>
  <si>
    <t>Total Provisiones</t>
  </si>
  <si>
    <t xml:space="preserve">Sueldo </t>
  </si>
  <si>
    <t>Gasto Adminsitrativo</t>
  </si>
  <si>
    <t>Aporte patronal</t>
  </si>
  <si>
    <t>rf/ registro rol de provisiones</t>
  </si>
  <si>
    <t>Aguja descartable</t>
  </si>
  <si>
    <t>Curita</t>
  </si>
  <si>
    <t>porta objetos</t>
  </si>
  <si>
    <t>Puntas azules</t>
  </si>
  <si>
    <t>Torunda de algodón</t>
  </si>
  <si>
    <t>Tubo tapa lila</t>
  </si>
  <si>
    <t>rf/ utilización de materia prima indirecta según requisición # 001</t>
  </si>
  <si>
    <t>Inv. Articulos Terminados</t>
  </si>
  <si>
    <t>Minutos</t>
  </si>
  <si>
    <t xml:space="preserve">Utilizació n según O.R 001 </t>
  </si>
  <si>
    <t>Base</t>
  </si>
  <si>
    <t>Orden de Trabajo #1</t>
  </si>
  <si>
    <t>rf/ se terima la orden de trabajo #1</t>
  </si>
  <si>
    <t>Ventas</t>
  </si>
  <si>
    <t>rf/ se entrega el resultado al cliente</t>
  </si>
  <si>
    <t>Utilizació n según O.R 002</t>
  </si>
  <si>
    <t>Orden de Trabajo #2</t>
  </si>
  <si>
    <t>rf/ utilización de materia prima directa según requisición # 002</t>
  </si>
  <si>
    <t>rf/ se terima la orden de trabajo #2</t>
  </si>
  <si>
    <t>utilización según requisición #003</t>
  </si>
  <si>
    <t>Orden de Trabajo #3</t>
  </si>
  <si>
    <t>rf/ utilización de materia prima directa según requisición # 003</t>
  </si>
  <si>
    <t>base</t>
  </si>
  <si>
    <t>utilización según requisición #004</t>
  </si>
  <si>
    <t>Orden de Trabajo #4</t>
  </si>
  <si>
    <t>rf/ utilización de materia prima directa según requisición # 004</t>
  </si>
  <si>
    <t>rf/ pago servicios básicos</t>
  </si>
  <si>
    <t>rf/ utilización de materia prima indirecta según requisición # 002</t>
  </si>
  <si>
    <t>rf/ se terima la orden de trabajo #3</t>
  </si>
  <si>
    <t>rf/ utilización de materia prima indirecta según requisición # 003</t>
  </si>
  <si>
    <t>rf/ utilización de materia prima indirecta según requisición # 004</t>
  </si>
  <si>
    <t>rf/ se terima la orden de trabajo #4</t>
  </si>
  <si>
    <t>utilización según requisición #005</t>
  </si>
  <si>
    <t>rf/ utilización de materia prima directa según requisición # 005</t>
  </si>
  <si>
    <t>rf/ se terima la orden de trabajo #5</t>
  </si>
  <si>
    <t>Orden de Trabajo #5</t>
  </si>
  <si>
    <t>rf/ utilización de materia prima indirecta según requisición # 005</t>
  </si>
  <si>
    <t>Orden de Trabajo #6</t>
  </si>
  <si>
    <t>rf/ utilización de materia prima directa según requisición # 006</t>
  </si>
  <si>
    <t>Utilizació n según O.R 006</t>
  </si>
  <si>
    <t>rf/ se terima la orden de trabajo #6</t>
  </si>
  <si>
    <t>rf/ utilización de materia prima directa según requisición # 007</t>
  </si>
  <si>
    <t>Orden de Trabajo #7</t>
  </si>
  <si>
    <t>utilización según requisición #007</t>
  </si>
  <si>
    <t>rf/ utilización de materia prima indirecta según requisición # 007</t>
  </si>
  <si>
    <t>rf/ se terima la orden de trabajo #7</t>
  </si>
  <si>
    <t>Orden de Trabajo #8</t>
  </si>
  <si>
    <t>rf/ utilización de materia prima directa según requisición # 008</t>
  </si>
  <si>
    <t>Utilizació n según O.R 008</t>
  </si>
  <si>
    <t>rf/ utilización de materia prima indirecta según requisición # 008</t>
  </si>
  <si>
    <t>rf/ se terima la orden de trabajo #8</t>
  </si>
  <si>
    <t>Utilizació n según O.R 009</t>
  </si>
  <si>
    <t>utilización según requisición #009</t>
  </si>
  <si>
    <t>rf/ utilización de materia prima indirecta según requisición # 009</t>
  </si>
  <si>
    <t>rf/ utilización de materia prima directa según requisición # 009</t>
  </si>
  <si>
    <t>Orden de Trabajo #9</t>
  </si>
  <si>
    <t>rf/ se terima la orden de trabajo #9</t>
  </si>
  <si>
    <t>Orden de Trabajo #10</t>
  </si>
  <si>
    <t>rf/ utilización de materia prima directa según requisición # 010</t>
  </si>
  <si>
    <t>Utilizació n según O.R 010</t>
  </si>
  <si>
    <t>rf/ utilización de materia prima indirecta según requisición # 006</t>
  </si>
  <si>
    <t>rf/ utilización de materia prima indirecta según requisición # 010</t>
  </si>
  <si>
    <t>Orden de Trabajo #11</t>
  </si>
  <si>
    <t>rf/ utilización de materia prima directa según requisición # 011</t>
  </si>
  <si>
    <t>Utilizació n según O.R 011</t>
  </si>
  <si>
    <t>rf/ utilización de materia prima indirecta según requisición # 011</t>
  </si>
  <si>
    <t>rf/ se terima la orden de trabajo #11</t>
  </si>
  <si>
    <t>Orden de Trabajo #12</t>
  </si>
  <si>
    <t>rf/ utilización de materia prima directa según requisición # 012</t>
  </si>
  <si>
    <t>utilización según requisición #012</t>
  </si>
  <si>
    <t>rf/ utilización de materia prima indirecta según requisición # 012</t>
  </si>
  <si>
    <t>rf/ se terima la orden de trabajo #12</t>
  </si>
  <si>
    <t>Orden de Trabajo #13</t>
  </si>
  <si>
    <t>rf/ utilización de materia prima directa según requisición # 013</t>
  </si>
  <si>
    <t>rf/ utilización de materia prima indirecta según requisición # 013</t>
  </si>
  <si>
    <t>rf/ se terima la orden de trabajo #13</t>
  </si>
  <si>
    <t>Utilizació n según O.R 013</t>
  </si>
  <si>
    <t>rf/ utilización de materia prima directa según requisición # 014</t>
  </si>
  <si>
    <t>Utilizació n según O.R 014</t>
  </si>
  <si>
    <t>utilización según requisición #014</t>
  </si>
  <si>
    <t>Orden de Trabajo #14</t>
  </si>
  <si>
    <t>rf/ utilización de materia prima indirecta según requisición # 014</t>
  </si>
  <si>
    <t>rf/ se terima la orden de trabajo #14</t>
  </si>
  <si>
    <t>Orden de Trabajo #15</t>
  </si>
  <si>
    <t>Utilizació n según O.R 015</t>
  </si>
  <si>
    <t>rf/ utilización de materia prima indirecta según requisición # 015</t>
  </si>
  <si>
    <t>rf/ utilización de materia prima directa según requisición # 015</t>
  </si>
  <si>
    <t>Depreciación acumulada baño maría</t>
  </si>
  <si>
    <t>Depreciación acumulada centrifugadora</t>
  </si>
  <si>
    <t>Depreciación acumulada microscopio</t>
  </si>
  <si>
    <t xml:space="preserve">Depreciación acumulada equipo quimico sanguineo </t>
  </si>
  <si>
    <t>Depreciación acumulada equipo de cromatografia</t>
  </si>
  <si>
    <t>Depreciación acumulada contador hematologico</t>
  </si>
  <si>
    <t>Depreciación acumulada rotador mezclador</t>
  </si>
  <si>
    <t>Gto. Depreciación baño maría</t>
  </si>
  <si>
    <t>Gto. Depreciación centrifugadora</t>
  </si>
  <si>
    <t>Gto. Depreciación microscopio</t>
  </si>
  <si>
    <t>Gto. Depreciación equipo quimico sanguineo</t>
  </si>
  <si>
    <t>Gto. Depreciación equipo de cromatografia</t>
  </si>
  <si>
    <t>Gto. Depreciación contador hematologico</t>
  </si>
  <si>
    <t xml:space="preserve">Gto. Depreciación rotador mezclador </t>
  </si>
  <si>
    <t xml:space="preserve"> microscopio</t>
  </si>
  <si>
    <t xml:space="preserve"> baño maría</t>
  </si>
  <si>
    <t>precio de compra</t>
  </si>
  <si>
    <t>año de compra</t>
  </si>
  <si>
    <t>año</t>
  </si>
  <si>
    <t>vida util en años</t>
  </si>
  <si>
    <t>dep anual</t>
  </si>
  <si>
    <t>dep mensual</t>
  </si>
  <si>
    <t>dep. para el  2015</t>
  </si>
  <si>
    <t>centrifugadora</t>
  </si>
  <si>
    <t xml:space="preserve"> equipo quimico sanguineo </t>
  </si>
  <si>
    <t xml:space="preserve"> equipo de cromatografia</t>
  </si>
  <si>
    <t xml:space="preserve"> contador hematologico</t>
  </si>
  <si>
    <t xml:space="preserve"> equipo rotador mezclador</t>
  </si>
  <si>
    <t>Cuadro de Depreciaciones de los equipos del laboratorio</t>
  </si>
  <si>
    <t xml:space="preserve"> Equipo: Baño María</t>
  </si>
  <si>
    <t>Equipo: Microscopio</t>
  </si>
  <si>
    <t xml:space="preserve">Metodo: Linea recta </t>
  </si>
  <si>
    <t>Año de compra: 2011</t>
  </si>
  <si>
    <t>Año de compra: 2012</t>
  </si>
  <si>
    <t xml:space="preserve">Valor activo -valor residual  = </t>
  </si>
  <si>
    <t>800 -(80)=</t>
  </si>
  <si>
    <t xml:space="preserve">Valor activo -valor residual = </t>
  </si>
  <si>
    <t>850 -(85)=</t>
  </si>
  <si>
    <t>Vida util</t>
  </si>
  <si>
    <t>Depreciación anual</t>
  </si>
  <si>
    <t>Depreciación mensual</t>
  </si>
  <si>
    <t>Depreciación año 2015</t>
  </si>
  <si>
    <t xml:space="preserve"> Equipo: Centrifugadora </t>
  </si>
  <si>
    <t xml:space="preserve">Equipo: Quimico sanguineo </t>
  </si>
  <si>
    <t>500 -(50)=</t>
  </si>
  <si>
    <t>5800 -(580)=</t>
  </si>
  <si>
    <t>Equipo de cromatografia</t>
  </si>
  <si>
    <t>Año de compra: 2009</t>
  </si>
  <si>
    <t>Año de compra: 2010</t>
  </si>
  <si>
    <t>4800 -(480)=</t>
  </si>
  <si>
    <t>10000 -(1000)=</t>
  </si>
  <si>
    <t>Equipo: Rotador mezclador</t>
  </si>
  <si>
    <t>Año de compra: 2008</t>
  </si>
  <si>
    <t>300 -(30)=</t>
  </si>
  <si>
    <t>Elaborado por: Andrea Luzuriaga</t>
  </si>
  <si>
    <t xml:space="preserve">Inv. Productos en Proceso </t>
  </si>
  <si>
    <t>Inv. Materia Prima Directa</t>
  </si>
  <si>
    <t>CIF Aplicados</t>
  </si>
  <si>
    <t>Boleta te tiempo</t>
  </si>
  <si>
    <t>Tasa</t>
  </si>
  <si>
    <t>Inv. Materia Prima Indirecta</t>
  </si>
  <si>
    <t>COSTO MATERIA PRIMA DIRECTA</t>
  </si>
  <si>
    <t>COSTO MANO DE OBRA DIRECTA</t>
  </si>
  <si>
    <t>CIF</t>
  </si>
  <si>
    <t>COSTO DE PRODUCCION EN PROCESO DEL PERIODO</t>
  </si>
  <si>
    <t>INV. INICIAL PRODUCTOS EN PROCESO</t>
  </si>
  <si>
    <t>COSTO TOTAL DE PRODUCTOS EN PROCESO</t>
  </si>
  <si>
    <t>INV. FINAL PRODUCTOS EN PROCESO</t>
  </si>
  <si>
    <t>COSTO DE ARTICULOS TERMINADOS</t>
  </si>
  <si>
    <t>INV. INICIAL ARTICULOS TERMINADOS</t>
  </si>
  <si>
    <t>COSTO DISPONIBLE PARA LA VENTA</t>
  </si>
  <si>
    <t>INV. FINAL ARTICULOS TERMINADOS</t>
  </si>
  <si>
    <t>COSTO DE VENTAS NORMAL</t>
  </si>
  <si>
    <t>COSTO DE VENTAS REAL</t>
  </si>
  <si>
    <t>ESTADO DE COSTO DE PRODUCCION Y VENTAS</t>
  </si>
  <si>
    <t>DEL 1 DE OTUBRE  AL 31 DE OCTUBRE  DE 2015</t>
  </si>
  <si>
    <t xml:space="preserve">Costo de Ventas </t>
  </si>
  <si>
    <t>Costo de Ventas</t>
  </si>
  <si>
    <t>bio</t>
  </si>
  <si>
    <t>beta</t>
  </si>
  <si>
    <t>coles</t>
  </si>
  <si>
    <t>copro</t>
  </si>
  <si>
    <t>ele</t>
  </si>
  <si>
    <t>glu</t>
  </si>
  <si>
    <t>CALCULO DE LAS HORAS DE MOD  ESTIMADAS ANUALES</t>
  </si>
  <si>
    <t>Días laborables</t>
  </si>
  <si>
    <t xml:space="preserve">Costo MOD presupuestado    </t>
  </si>
  <si>
    <t>=</t>
  </si>
  <si>
    <t>x</t>
  </si>
  <si>
    <t>Horas efectivas de trabajo</t>
  </si>
  <si>
    <t>Horas MOD estimadas anuales</t>
  </si>
  <si>
    <t>Horas efectivas de un trabajador</t>
  </si>
  <si>
    <t>Empleados  MOD</t>
  </si>
  <si>
    <t>Elaborado por : Andrea Luzuriaga</t>
  </si>
  <si>
    <r>
      <t>Elaborado por :</t>
    </r>
    <r>
      <rPr>
        <sz val="12"/>
        <color rgb="FF000000"/>
        <rFont val="Times New Roman"/>
        <family val="1"/>
      </rPr>
      <t xml:space="preserve"> Andrea Luzuriaga</t>
    </r>
  </si>
  <si>
    <t>Regla de tres para el rol</t>
  </si>
  <si>
    <t>Regla de tres 1)</t>
  </si>
  <si>
    <t>Total examnes realizados en octubre</t>
  </si>
  <si>
    <t>Total</t>
  </si>
  <si>
    <t>Diferencia</t>
  </si>
  <si>
    <t>rf/ registro depreciación equipos del laboratorio</t>
  </si>
  <si>
    <t xml:space="preserve">r/f  tiempo inactivo </t>
  </si>
  <si>
    <t>Horas Totales Estimadas para todos los examenes</t>
  </si>
  <si>
    <t>r/f registro apliacion de los CIF</t>
  </si>
  <si>
    <t>CIF Aplicado</t>
  </si>
  <si>
    <t>Variación CIF</t>
  </si>
  <si>
    <t>r/f registro variación cif</t>
  </si>
  <si>
    <t>total ordenes terminadas</t>
  </si>
  <si>
    <t>Cif Aplicados</t>
  </si>
  <si>
    <t>VARIACION CIF (DESFAVORABLE)</t>
  </si>
  <si>
    <t xml:space="preserve">CIF  Real </t>
  </si>
  <si>
    <t>INV. INICIAL MATERIA PRIMA DIRECTA</t>
  </si>
  <si>
    <t>COMPRAS</t>
  </si>
  <si>
    <t>COSTO DISPONIBLE MP DIRECTA PARA UTILIZAR</t>
  </si>
  <si>
    <t>INV. FINAL MATERIA PRIMA DIRECTA</t>
  </si>
  <si>
    <t>Biometría</t>
  </si>
  <si>
    <t>Precio de venta</t>
  </si>
  <si>
    <t>Ácido úrico</t>
  </si>
  <si>
    <t>utilizacion para determinar costo prueba acido urico</t>
  </si>
  <si>
    <t xml:space="preserve">Antibiograma </t>
  </si>
  <si>
    <t xml:space="preserve">Caldo BHI </t>
  </si>
  <si>
    <t>Tego 2% (Desinfectante)</t>
  </si>
  <si>
    <t>utilizacion para determinar costo prueba antibiograma</t>
  </si>
  <si>
    <t xml:space="preserve">Asto </t>
  </si>
  <si>
    <t>utilizacion para determinar costo prueba bilirrubinas</t>
  </si>
  <si>
    <t>utilizacion para determinar costo prueba asto</t>
  </si>
  <si>
    <t xml:space="preserve">Coloración Gram </t>
  </si>
  <si>
    <t>utilizacion para determinar costo prueba coloración gram</t>
  </si>
  <si>
    <t>Coproparasitario por concentración</t>
  </si>
  <si>
    <t xml:space="preserve">utilizacion para determinar costo prueba copro por concentración </t>
  </si>
  <si>
    <t>utilizacion para determinar costo prueba coproseriado</t>
  </si>
  <si>
    <t>Coproparasitario seriado</t>
  </si>
  <si>
    <t>Creatinina</t>
  </si>
  <si>
    <t>utilizacion para determinar costo prueba cretinina</t>
  </si>
  <si>
    <t>utilizacion para determinar costo prueba  creatinina</t>
  </si>
  <si>
    <t>utilizacion para determinar costo prueba creatinina</t>
  </si>
  <si>
    <t>Cultivo de orina</t>
  </si>
  <si>
    <t>utilizacion para determinar costo prueba cultivo de orina</t>
  </si>
  <si>
    <t>Diluyente para hormonas Estradiol</t>
  </si>
  <si>
    <t>Controles Hormonas Estradiol</t>
  </si>
  <si>
    <t>utilizacion para determinar costo prueba estradiol</t>
  </si>
  <si>
    <t>FSH</t>
  </si>
  <si>
    <t>Diluyente para hormonas FSH</t>
  </si>
  <si>
    <t>Control para hormonas FSH</t>
  </si>
  <si>
    <t>utilizacion para determinar costo prueba FSH</t>
  </si>
  <si>
    <t>Diluyente para hormonas FT3</t>
  </si>
  <si>
    <t>Sustrato 100 mL</t>
  </si>
  <si>
    <t>Control de hormonas  FT3</t>
  </si>
  <si>
    <t>utilizacion para determinar costo prueba FT3</t>
  </si>
  <si>
    <t>Diluyente para hormonas FT4</t>
  </si>
  <si>
    <t>Control de hormonas  FT4</t>
  </si>
  <si>
    <t>utilizacion para determinar costo prueba FT4</t>
  </si>
  <si>
    <t>Gram de gota fresca</t>
  </si>
  <si>
    <t>utilizacion para determinar costo prueba gram de gota fresca</t>
  </si>
  <si>
    <t xml:space="preserve">HDL Colesterol </t>
  </si>
  <si>
    <t>utilizacion para determinar costo prueba HDL Colesterol</t>
  </si>
  <si>
    <t>Hemoglobina glicosilada</t>
  </si>
  <si>
    <t>utilizacion para determinar costo prueba hemoglobina glicosilada</t>
  </si>
  <si>
    <t>HIV1+2 cualitativo</t>
  </si>
  <si>
    <t>Reactivo HIV</t>
  </si>
  <si>
    <t>utilizacion para determinar costo prueba  HIV</t>
  </si>
  <si>
    <t xml:space="preserve">Latex </t>
  </si>
  <si>
    <t>Reactivo  RF</t>
  </si>
  <si>
    <t>utilizacion para determinar costo prueba  Latex</t>
  </si>
  <si>
    <t>LDL Colesterol</t>
  </si>
  <si>
    <t>utilizacion para determinar costo prueba LDL Colesterol</t>
  </si>
  <si>
    <t>Diluyente para hormonas LH</t>
  </si>
  <si>
    <t>Control para hormonas LH</t>
  </si>
  <si>
    <t>utilizacion para determinar costo prueba  LH</t>
  </si>
  <si>
    <t>Papanicolau</t>
  </si>
  <si>
    <t>Alcohol Potable para Papanicolaou</t>
  </si>
  <si>
    <t>utilizacion para determinar costo prueba papanicolau</t>
  </si>
  <si>
    <t>Polimorfonucleares</t>
  </si>
  <si>
    <t>utilizacion para determinar costo prueba  polimorfonucleares</t>
  </si>
  <si>
    <t>Diluyente para hormonas progesterona</t>
  </si>
  <si>
    <t>Controles hormonas progesterona</t>
  </si>
  <si>
    <t>utilizacion para determinar costo prueba  progesterona</t>
  </si>
  <si>
    <t>Prolactina</t>
  </si>
  <si>
    <t>Diluyente para hormonas prolactina</t>
  </si>
  <si>
    <t>Controles hormonas prolactina</t>
  </si>
  <si>
    <t>utilizacion para determinar costo prueba  prolactina</t>
  </si>
  <si>
    <t>Prueba de embarazo en orina</t>
  </si>
  <si>
    <t>Tira reactiva</t>
  </si>
  <si>
    <t xml:space="preserve">utilizacion para determinar costo prueba de embarazo </t>
  </si>
  <si>
    <t>PSA</t>
  </si>
  <si>
    <t>utilizacion para determinar costo prueba PSA</t>
  </si>
  <si>
    <t>Rotavirus</t>
  </si>
  <si>
    <t>Kit rotavirus</t>
  </si>
  <si>
    <t>utilizacion para determinar costo prueba  rotavirus</t>
  </si>
  <si>
    <t>Sangre oculta en heces</t>
  </si>
  <si>
    <t>utilizacion para determinar costo prueba sangre oculta en heces</t>
  </si>
  <si>
    <t>TGO</t>
  </si>
  <si>
    <t>utilizacion para determinar costo prueba TGO</t>
  </si>
  <si>
    <t>TGP</t>
  </si>
  <si>
    <t>utilizacion para determinar costo prueba  TGO</t>
  </si>
  <si>
    <t>utilizacion para determinar costo prueba TGP</t>
  </si>
  <si>
    <t>tipificación sanguinea</t>
  </si>
  <si>
    <t>utilización según prueba tipificación sanguínea</t>
  </si>
  <si>
    <t>Control normal Bio Rad</t>
  </si>
  <si>
    <t>Control  patológico Bio Rad</t>
  </si>
  <si>
    <t>Flex Trigliceridos</t>
  </si>
  <si>
    <t>Flex trigliceridos  calibrador y control</t>
  </si>
  <si>
    <t>Calibrador Chem II</t>
  </si>
  <si>
    <t>control externo</t>
  </si>
  <si>
    <t>Trigliceridos</t>
  </si>
  <si>
    <t>utilizacion para determinar costo prueba Trigliceridos</t>
  </si>
  <si>
    <t>TSH</t>
  </si>
  <si>
    <t>Diluyente para hormonas TSH</t>
  </si>
  <si>
    <t>Controles hormonas TSH</t>
  </si>
  <si>
    <t>utilizacion para determinar costo prueba TSH</t>
  </si>
  <si>
    <t>Urea</t>
  </si>
  <si>
    <t>Flex Urea</t>
  </si>
  <si>
    <t>utilizacion para determinar costo prueba Urea</t>
  </si>
  <si>
    <t>VDRL</t>
  </si>
  <si>
    <t>utilizacion para determinar costo prueba VDRL</t>
  </si>
  <si>
    <t>TASA PREDETERMINADA DE MANO DE OBRA DIRECTA PARA OCTUBRE</t>
  </si>
  <si>
    <t>Hora</t>
  </si>
  <si>
    <t>Coloración Gram</t>
  </si>
  <si>
    <t>HDL Colesterol</t>
  </si>
  <si>
    <t>hemoglobina glicosilada</t>
  </si>
  <si>
    <t>Latex</t>
  </si>
  <si>
    <t>polimorfonucleares</t>
  </si>
  <si>
    <t>progesterona</t>
  </si>
  <si>
    <t>prolactina</t>
  </si>
  <si>
    <t>sangre oculta en heces</t>
  </si>
  <si>
    <t xml:space="preserve"> </t>
  </si>
  <si>
    <t>Látex</t>
  </si>
  <si>
    <t>Papanicolaou</t>
  </si>
  <si>
    <t>Triglicéridos</t>
  </si>
  <si>
    <t>EXÁMENES</t>
  </si>
  <si>
    <t>Minutos MOD</t>
  </si>
  <si>
    <t>Equivalencia en horas</t>
  </si>
  <si>
    <t>N° de exámenes realizados Año 2015</t>
  </si>
  <si>
    <t>Utilidad o perdida</t>
  </si>
  <si>
    <t>Ventas año 2015</t>
  </si>
  <si>
    <t>Costo de ventas unitario</t>
  </si>
  <si>
    <t xml:space="preserve">Costo de ventas </t>
  </si>
  <si>
    <t>Cuadro N° 31</t>
  </si>
  <si>
    <t>Cuadro N° 32</t>
  </si>
  <si>
    <t>Cuadro N°51</t>
  </si>
  <si>
    <t>TASA DE APLICACIÓN DE LOS COSTOS INDIRECTOS DE FABRICACIÓN</t>
  </si>
  <si>
    <t xml:space="preserve">Presupuesto CIF </t>
  </si>
  <si>
    <t xml:space="preserve">Costo MOD presupuestado  </t>
  </si>
  <si>
    <t>Se aplica a la producción como CIF el  75,67962992 % del costo de mano de obra directa</t>
  </si>
  <si>
    <t>Cuadro N° 52</t>
  </si>
  <si>
    <t>Calculo de la tasa de aplicación de costos indirectos de fabricación fija y variable</t>
  </si>
  <si>
    <t>1) Tasa de aplicación de los costos indirectos de fabricación fija</t>
  </si>
  <si>
    <t>Presupuesto CIF fijos</t>
  </si>
  <si>
    <t>2) Tasa de aplicación de los costos indirectos de fabricación variables</t>
  </si>
  <si>
    <t>Presupuesto CIF variables</t>
  </si>
  <si>
    <t xml:space="preserve"> PSA</t>
  </si>
  <si>
    <t xml:space="preserve"> Controles PSA </t>
  </si>
  <si>
    <t>Frasco</t>
  </si>
  <si>
    <t>50  mililitros</t>
  </si>
  <si>
    <t>750 mililitros</t>
  </si>
  <si>
    <t>150  mililitros</t>
  </si>
  <si>
    <t xml:space="preserve">1000 mililitros </t>
  </si>
  <si>
    <t xml:space="preserve">150 mililitros </t>
  </si>
  <si>
    <t>examenes presupuestados  para el 2015 cuadro N° 28</t>
  </si>
  <si>
    <t>Cuadro N°50</t>
  </si>
  <si>
    <t>Presupuesto de Costos Indirectos de Fabricación</t>
  </si>
  <si>
    <t>Concepto</t>
  </si>
  <si>
    <t xml:space="preserve">Fijo </t>
  </si>
  <si>
    <t>Variable</t>
  </si>
  <si>
    <t>Total presupuesto CIF</t>
  </si>
  <si>
    <t xml:space="preserve">Materiales Indirectos: </t>
  </si>
  <si>
    <t>Cinta control</t>
  </si>
  <si>
    <t>Frasco recolector</t>
  </si>
  <si>
    <t>Puntas amarillas</t>
  </si>
  <si>
    <t>Puntas blancas</t>
  </si>
  <si>
    <t>Recipiente estéril para recolectar muestra</t>
  </si>
  <si>
    <t xml:space="preserve">Total Materiales Indirectos </t>
  </si>
  <si>
    <t>Mano de Obra Indirecta:</t>
  </si>
  <si>
    <t>Sueldo jefe de laboratorio</t>
  </si>
  <si>
    <t>Total Mano de Obra Indirecta</t>
  </si>
  <si>
    <t>Otros Cotos Indirectos de Fabricación:</t>
  </si>
  <si>
    <t>Energía eléctrica</t>
  </si>
  <si>
    <t>Telefonía fija e internet</t>
  </si>
  <si>
    <t>Agua potable</t>
  </si>
  <si>
    <t>Impuestos municipales</t>
  </si>
  <si>
    <t>Arriendo</t>
  </si>
  <si>
    <t>Mantenimiento y reparaciones</t>
  </si>
  <si>
    <t>Monitoreo</t>
  </si>
  <si>
    <t>Depreciación baño maría</t>
  </si>
  <si>
    <t>Depreciación centrifugadora</t>
  </si>
  <si>
    <t>Depreciación microscopio</t>
  </si>
  <si>
    <t xml:space="preserve">Depreciación equipo químico sanguíneo </t>
  </si>
  <si>
    <t>Depreciación equipo de cromatografía</t>
  </si>
  <si>
    <t>Depreciación contador hematológico</t>
  </si>
  <si>
    <t>Depreciación rotador mezclador</t>
  </si>
  <si>
    <t xml:space="preserve">Total Otros CIF </t>
  </si>
  <si>
    <t xml:space="preserve">Suman </t>
  </si>
  <si>
    <r>
      <t>Elaborado por:</t>
    </r>
    <r>
      <rPr>
        <sz val="12"/>
        <color rgb="FF000000"/>
        <rFont val="Times New Roman"/>
        <family val="1"/>
      </rPr>
      <t xml:space="preserve"> Andrea Luzuriaga</t>
    </r>
  </si>
  <si>
    <t>$</t>
  </si>
  <si>
    <t>examenes</t>
  </si>
  <si>
    <t>Regla de tres rol de prov</t>
  </si>
  <si>
    <t xml:space="preserve"> Rol de pagos Octubre (regla de tres)</t>
  </si>
  <si>
    <t>Rol de provisiones Octubre (regla de tres)</t>
  </si>
  <si>
    <t>Controles PSA</t>
  </si>
  <si>
    <t>utilizacion para determinar costo prueba  Psa</t>
  </si>
  <si>
    <t>Utilidad o perdida en %</t>
  </si>
  <si>
    <t>Exámenes</t>
  </si>
  <si>
    <t xml:space="preserve">horas </t>
  </si>
  <si>
    <t>horas MOD estimadas mensuales</t>
  </si>
  <si>
    <t>Cuadro N°56</t>
  </si>
  <si>
    <t>Totales</t>
  </si>
  <si>
    <t>Cuadro para determinar utilidad o perdida en los exámenes ofertados</t>
  </si>
  <si>
    <t>Tipificación sanguínea</t>
  </si>
  <si>
    <t>Equipo: Refrigerador</t>
  </si>
  <si>
    <t>965- (96,50)</t>
  </si>
  <si>
    <t>Depreciación rotador refrigerador</t>
  </si>
  <si>
    <t>Cuadro N° 55</t>
  </si>
  <si>
    <t xml:space="preserve"> Equipo: contador hematológico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</si>
</sst>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8" formatCode="&quot;$&quot;\ #,##0.00_);[Red]\(&quot;$&quot;\ #,##0.00\)"/>
    <numFmt numFmtId="43" formatCode="_(* #,##0.00_);_(* \(#,##0.00\);_(* &quot;-&quot;??_);_(@_)"/>
    <numFmt numFmtId="164" formatCode="&quot;$&quot;#,##0.00;[Red]&quot;$&quot;\-#,##0.00"/>
    <numFmt numFmtId="165" formatCode="0.000"/>
    <numFmt numFmtId="166" formatCode="0.0000"/>
    <numFmt numFmtId="167" formatCode="&quot;$&quot;\ #,##0.00"/>
    <numFmt numFmtId="168" formatCode="0.00000000%"/>
    <numFmt numFmtId="169" formatCode="0.000%"/>
    <numFmt numFmtId="170" formatCode="&quot;$&quot;#,##0.00"/>
  </numFmts>
  <fonts count="21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i/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2"/>
      <color theme="0"/>
      <name val="Times New Roman"/>
      <family val="1"/>
    </font>
    <font>
      <u/>
      <sz val="12"/>
      <color theme="1"/>
      <name val="Times New Roman"/>
      <family val="1"/>
    </font>
    <font>
      <sz val="11"/>
      <name val="Calibri"/>
      <family val="2"/>
      <scheme val="minor"/>
    </font>
    <font>
      <b/>
      <sz val="11"/>
      <color rgb="FF000000"/>
      <name val="Cambria"/>
      <family val="1"/>
    </font>
    <font>
      <sz val="11"/>
      <color rgb="FF000000"/>
      <name val="Cambria"/>
      <family val="1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u/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95">
    <xf numFmtId="0" fontId="0" fillId="0" borderId="0" xfId="0"/>
    <xf numFmtId="0" fontId="0" fillId="0" borderId="1" xfId="0" applyBorder="1"/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14" fontId="0" fillId="0" borderId="1" xfId="0" applyNumberFormat="1" applyFill="1" applyBorder="1"/>
    <xf numFmtId="0" fontId="2" fillId="0" borderId="0" xfId="0" applyFont="1"/>
    <xf numFmtId="14" fontId="0" fillId="0" borderId="5" xfId="0" applyNumberFormat="1" applyFill="1" applyBorder="1"/>
    <xf numFmtId="0" fontId="0" fillId="0" borderId="5" xfId="0" applyFill="1" applyBorder="1"/>
    <xf numFmtId="0" fontId="0" fillId="0" borderId="2" xfId="0" applyFill="1" applyBorder="1" applyAlignment="1"/>
    <xf numFmtId="0" fontId="0" fillId="0" borderId="2" xfId="0" applyFill="1" applyBorder="1" applyAlignment="1"/>
    <xf numFmtId="0" fontId="0" fillId="0" borderId="1" xfId="0" applyFill="1" applyBorder="1" applyAlignment="1"/>
    <xf numFmtId="0" fontId="3" fillId="0" borderId="0" xfId="0" applyFont="1" applyFill="1"/>
    <xf numFmtId="0" fontId="3" fillId="0" borderId="0" xfId="0" applyFont="1"/>
    <xf numFmtId="0" fontId="3" fillId="0" borderId="1" xfId="0" applyFont="1" applyFill="1" applyBorder="1"/>
    <xf numFmtId="0" fontId="3" fillId="0" borderId="2" xfId="0" applyFont="1" applyFill="1" applyBorder="1" applyAlignment="1"/>
    <xf numFmtId="0" fontId="3" fillId="0" borderId="1" xfId="0" applyFont="1" applyFill="1" applyBorder="1" applyAlignment="1"/>
    <xf numFmtId="0" fontId="3" fillId="0" borderId="1" xfId="0" applyFont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14" fontId="3" fillId="0" borderId="1" xfId="0" applyNumberFormat="1" applyFont="1" applyFill="1" applyBorder="1"/>
    <xf numFmtId="2" fontId="3" fillId="0" borderId="1" xfId="0" applyNumberFormat="1" applyFont="1" applyFill="1" applyBorder="1"/>
    <xf numFmtId="165" fontId="3" fillId="0" borderId="1" xfId="0" applyNumberFormat="1" applyFont="1" applyFill="1" applyBorder="1"/>
    <xf numFmtId="0" fontId="3" fillId="0" borderId="3" xfId="0" applyFont="1" applyFill="1" applyBorder="1" applyAlignment="1"/>
    <xf numFmtId="166" fontId="3" fillId="0" borderId="1" xfId="0" applyNumberFormat="1" applyFont="1" applyFill="1" applyBorder="1"/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/>
    <xf numFmtId="2" fontId="0" fillId="0" borderId="5" xfId="0" applyNumberFormat="1" applyFill="1" applyBorder="1"/>
    <xf numFmtId="14" fontId="0" fillId="0" borderId="0" xfId="0" applyNumberFormat="1" applyFill="1" applyBorder="1"/>
    <xf numFmtId="0" fontId="0" fillId="0" borderId="0" xfId="0" applyFill="1" applyBorder="1"/>
    <xf numFmtId="2" fontId="0" fillId="0" borderId="0" xfId="0" applyNumberFormat="1" applyFill="1" applyBorder="1"/>
    <xf numFmtId="0" fontId="0" fillId="0" borderId="2" xfId="0" applyFill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2" fontId="0" fillId="0" borderId="1" xfId="0" applyNumberFormat="1" applyBorder="1"/>
    <xf numFmtId="2" fontId="0" fillId="0" borderId="0" xfId="0" applyNumberFormat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14" xfId="0" applyBorder="1"/>
    <xf numFmtId="0" fontId="1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0" fillId="0" borderId="0" xfId="0" applyNumberFormat="1" applyBorder="1"/>
    <xf numFmtId="2" fontId="2" fillId="0" borderId="0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 wrapText="1"/>
    </xf>
    <xf numFmtId="0" fontId="0" fillId="0" borderId="2" xfId="0" applyBorder="1"/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4" fontId="0" fillId="3" borderId="5" xfId="0" applyNumberFormat="1" applyFill="1" applyBorder="1" applyAlignment="1">
      <alignment vertical="center"/>
    </xf>
    <xf numFmtId="0" fontId="0" fillId="3" borderId="5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2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14" fontId="0" fillId="3" borderId="5" xfId="0" applyNumberFormat="1" applyFill="1" applyBorder="1"/>
    <xf numFmtId="0" fontId="0" fillId="3" borderId="1" xfId="0" applyFill="1" applyBorder="1"/>
    <xf numFmtId="2" fontId="0" fillId="3" borderId="1" xfId="0" applyNumberFormat="1" applyFill="1" applyBorder="1"/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0" fillId="0" borderId="4" xfId="0" applyBorder="1"/>
    <xf numFmtId="0" fontId="2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43" fontId="7" fillId="0" borderId="18" xfId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3" fontId="7" fillId="0" borderId="1" xfId="1" applyFont="1" applyBorder="1" applyAlignment="1">
      <alignment vertical="center" wrapText="1"/>
    </xf>
    <xf numFmtId="43" fontId="7" fillId="0" borderId="18" xfId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8" xfId="0" applyFont="1" applyBorder="1" applyAlignment="1">
      <alignment vertical="center"/>
    </xf>
    <xf numFmtId="0" fontId="0" fillId="0" borderId="1" xfId="0" applyFont="1" applyBorder="1"/>
    <xf numFmtId="0" fontId="0" fillId="0" borderId="1" xfId="0" applyFont="1" applyFill="1" applyBorder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vertical="top" wrapText="1"/>
    </xf>
    <xf numFmtId="2" fontId="2" fillId="0" borderId="1" xfId="0" applyNumberFormat="1" applyFont="1" applyBorder="1" applyAlignment="1">
      <alignment vertical="center" wrapText="1"/>
    </xf>
    <xf numFmtId="0" fontId="1" fillId="0" borderId="18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top" wrapText="1"/>
    </xf>
    <xf numFmtId="2" fontId="2" fillId="0" borderId="1" xfId="0" applyNumberFormat="1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wrapText="1"/>
    </xf>
    <xf numFmtId="2" fontId="3" fillId="0" borderId="5" xfId="0" applyNumberFormat="1" applyFont="1" applyFill="1" applyBorder="1"/>
    <xf numFmtId="0" fontId="2" fillId="0" borderId="9" xfId="0" applyFont="1" applyBorder="1" applyAlignment="1">
      <alignment horizontal="right"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14" fontId="3" fillId="3" borderId="1" xfId="0" applyNumberFormat="1" applyFont="1" applyFill="1" applyBorder="1"/>
    <xf numFmtId="0" fontId="3" fillId="3" borderId="1" xfId="0" applyFont="1" applyFill="1" applyBorder="1"/>
    <xf numFmtId="2" fontId="3" fillId="3" borderId="1" xfId="0" applyNumberFormat="1" applyFont="1" applyFill="1" applyBorder="1"/>
    <xf numFmtId="10" fontId="2" fillId="0" borderId="0" xfId="0" applyNumberFormat="1" applyFont="1"/>
    <xf numFmtId="0" fontId="0" fillId="2" borderId="1" xfId="0" applyFill="1" applyBorder="1"/>
    <xf numFmtId="14" fontId="0" fillId="0" borderId="0" xfId="0" applyNumberFormat="1"/>
    <xf numFmtId="2" fontId="2" fillId="0" borderId="8" xfId="0" applyNumberFormat="1" applyFont="1" applyBorder="1" applyAlignment="1">
      <alignment vertical="center"/>
    </xf>
    <xf numFmtId="0" fontId="2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0" fillId="3" borderId="1" xfId="0" applyNumberFormat="1" applyFill="1" applyBorder="1"/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14" fontId="0" fillId="3" borderId="0" xfId="0" applyNumberFormat="1" applyFill="1"/>
    <xf numFmtId="0" fontId="0" fillId="0" borderId="18" xfId="0" applyBorder="1"/>
    <xf numFmtId="0" fontId="0" fillId="0" borderId="1" xfId="0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14" fontId="3" fillId="0" borderId="0" xfId="0" applyNumberFormat="1" applyFont="1" applyFill="1" applyBorder="1"/>
    <xf numFmtId="0" fontId="3" fillId="0" borderId="0" xfId="0" applyFont="1" applyFill="1" applyBorder="1"/>
    <xf numFmtId="2" fontId="3" fillId="0" borderId="0" xfId="0" applyNumberFormat="1" applyFont="1" applyFill="1" applyBorder="1"/>
    <xf numFmtId="0" fontId="0" fillId="0" borderId="5" xfId="0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5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3" fillId="3" borderId="0" xfId="0" applyFont="1" applyFill="1"/>
    <xf numFmtId="0" fontId="0" fillId="4" borderId="1" xfId="0" applyFill="1" applyBorder="1"/>
    <xf numFmtId="2" fontId="0" fillId="4" borderId="1" xfId="0" applyNumberFormat="1" applyFill="1" applyBorder="1"/>
    <xf numFmtId="14" fontId="0" fillId="0" borderId="1" xfId="0" applyNumberFormat="1" applyFont="1" applyFill="1" applyBorder="1"/>
    <xf numFmtId="2" fontId="0" fillId="0" borderId="1" xfId="0" applyNumberFormat="1" applyFont="1" applyFill="1" applyBorder="1"/>
    <xf numFmtId="0" fontId="3" fillId="0" borderId="2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167" fontId="3" fillId="0" borderId="1" xfId="0" applyNumberFormat="1" applyFont="1" applyBorder="1" applyAlignment="1">
      <alignment wrapText="1"/>
    </xf>
    <xf numFmtId="167" fontId="3" fillId="0" borderId="1" xfId="0" applyNumberFormat="1" applyFont="1" applyBorder="1"/>
    <xf numFmtId="167" fontId="2" fillId="0" borderId="1" xfId="0" applyNumberFormat="1" applyFont="1" applyBorder="1" applyAlignment="1">
      <alignment horizontal="left"/>
    </xf>
    <xf numFmtId="167" fontId="3" fillId="0" borderId="1" xfId="0" applyNumberFormat="1" applyFont="1" applyBorder="1" applyAlignment="1">
      <alignment vertical="top" wrapText="1"/>
    </xf>
    <xf numFmtId="167" fontId="3" fillId="0" borderId="4" xfId="0" applyNumberFormat="1" applyFont="1" applyBorder="1" applyAlignment="1">
      <alignment horizontal="right"/>
    </xf>
    <xf numFmtId="9" fontId="0" fillId="0" borderId="0" xfId="0" applyNumberFormat="1"/>
    <xf numFmtId="0" fontId="3" fillId="0" borderId="6" xfId="0" applyFont="1" applyBorder="1"/>
    <xf numFmtId="0" fontId="3" fillId="0" borderId="12" xfId="0" applyFont="1" applyBorder="1"/>
    <xf numFmtId="0" fontId="3" fillId="0" borderId="7" xfId="0" applyFont="1" applyBorder="1"/>
    <xf numFmtId="0" fontId="3" fillId="0" borderId="13" xfId="0" applyFont="1" applyBorder="1"/>
    <xf numFmtId="0" fontId="3" fillId="0" borderId="0" xfId="0" applyFont="1" applyBorder="1"/>
    <xf numFmtId="0" fontId="3" fillId="0" borderId="14" xfId="0" applyFont="1" applyBorder="1"/>
    <xf numFmtId="0" fontId="11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7" xfId="0" applyFont="1" applyBorder="1"/>
    <xf numFmtId="0" fontId="3" fillId="0" borderId="16" xfId="0" applyFont="1" applyBorder="1"/>
    <xf numFmtId="2" fontId="3" fillId="0" borderId="16" xfId="0" applyNumberFormat="1" applyFont="1" applyBorder="1"/>
    <xf numFmtId="2" fontId="3" fillId="0" borderId="0" xfId="0" applyNumberFormat="1" applyFont="1" applyBorder="1"/>
    <xf numFmtId="0" fontId="10" fillId="0" borderId="13" xfId="0" applyFont="1" applyBorder="1"/>
    <xf numFmtId="0" fontId="10" fillId="0" borderId="0" xfId="0" applyFont="1" applyBorder="1"/>
    <xf numFmtId="0" fontId="10" fillId="0" borderId="14" xfId="0" applyFont="1" applyBorder="1"/>
    <xf numFmtId="0" fontId="3" fillId="0" borderId="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0" fillId="0" borderId="13" xfId="0" applyBorder="1"/>
    <xf numFmtId="0" fontId="10" fillId="0" borderId="17" xfId="0" applyFont="1" applyBorder="1"/>
    <xf numFmtId="0" fontId="10" fillId="0" borderId="16" xfId="0" applyFont="1" applyBorder="1"/>
    <xf numFmtId="0" fontId="10" fillId="0" borderId="16" xfId="0" applyFont="1" applyBorder="1" applyAlignment="1">
      <alignment horizontal="left"/>
    </xf>
    <xf numFmtId="0" fontId="10" fillId="0" borderId="19" xfId="0" applyFont="1" applyBorder="1"/>
    <xf numFmtId="0" fontId="0" fillId="4" borderId="1" xfId="0" applyFill="1" applyBorder="1" applyAlignment="1">
      <alignment horizontal="left"/>
    </xf>
    <xf numFmtId="2" fontId="0" fillId="0" borderId="13" xfId="0" applyNumberFormat="1" applyBorder="1"/>
    <xf numFmtId="0" fontId="3" fillId="3" borderId="1" xfId="0" applyFont="1" applyFill="1" applyBorder="1" applyAlignment="1">
      <alignment wrapText="1"/>
    </xf>
    <xf numFmtId="2" fontId="0" fillId="0" borderId="6" xfId="0" applyNumberFormat="1" applyBorder="1"/>
    <xf numFmtId="0" fontId="0" fillId="7" borderId="1" xfId="0" applyFill="1" applyBorder="1"/>
    <xf numFmtId="2" fontId="0" fillId="7" borderId="1" xfId="0" applyNumberFormat="1" applyFill="1" applyBorder="1"/>
    <xf numFmtId="0" fontId="0" fillId="6" borderId="1" xfId="0" applyFill="1" applyBorder="1"/>
    <xf numFmtId="2" fontId="0" fillId="6" borderId="1" xfId="0" applyNumberFormat="1" applyFill="1" applyBorder="1"/>
    <xf numFmtId="0" fontId="0" fillId="8" borderId="1" xfId="0" applyFill="1" applyBorder="1"/>
    <xf numFmtId="2" fontId="0" fillId="8" borderId="1" xfId="0" applyNumberFormat="1" applyFill="1" applyBorder="1"/>
    <xf numFmtId="0" fontId="0" fillId="9" borderId="1" xfId="0" applyFill="1" applyBorder="1"/>
    <xf numFmtId="0" fontId="0" fillId="10" borderId="1" xfId="0" applyFill="1" applyBorder="1"/>
    <xf numFmtId="0" fontId="0" fillId="5" borderId="1" xfId="0" applyFill="1" applyBorder="1"/>
    <xf numFmtId="2" fontId="0" fillId="5" borderId="1" xfId="0" applyNumberFormat="1" applyFill="1" applyBorder="1"/>
    <xf numFmtId="0" fontId="0" fillId="11" borderId="1" xfId="0" applyFill="1" applyBorder="1"/>
    <xf numFmtId="167" fontId="0" fillId="0" borderId="0" xfId="0" applyNumberFormat="1"/>
    <xf numFmtId="0" fontId="0" fillId="0" borderId="6" xfId="0" applyBorder="1"/>
    <xf numFmtId="0" fontId="0" fillId="9" borderId="4" xfId="0" applyFill="1" applyBorder="1"/>
    <xf numFmtId="0" fontId="12" fillId="10" borderId="1" xfId="0" applyFont="1" applyFill="1" applyBorder="1"/>
    <xf numFmtId="0" fontId="0" fillId="12" borderId="1" xfId="0" applyFill="1" applyBorder="1"/>
    <xf numFmtId="2" fontId="0" fillId="12" borderId="1" xfId="0" applyNumberFormat="1" applyFill="1" applyBorder="1"/>
    <xf numFmtId="0" fontId="0" fillId="13" borderId="1" xfId="0" applyFill="1" applyBorder="1"/>
    <xf numFmtId="0" fontId="0" fillId="7" borderId="1" xfId="0" applyFont="1" applyFill="1" applyBorder="1"/>
    <xf numFmtId="2" fontId="0" fillId="7" borderId="1" xfId="0" applyNumberFormat="1" applyFont="1" applyFill="1" applyBorder="1"/>
    <xf numFmtId="0" fontId="0" fillId="14" borderId="1" xfId="0" applyFill="1" applyBorder="1"/>
    <xf numFmtId="2" fontId="0" fillId="14" borderId="1" xfId="0" applyNumberFormat="1" applyFill="1" applyBorder="1"/>
    <xf numFmtId="2" fontId="0" fillId="0" borderId="16" xfId="0" applyNumberFormat="1" applyBorder="1"/>
    <xf numFmtId="2" fontId="0" fillId="0" borderId="17" xfId="0" applyNumberFormat="1" applyBorder="1"/>
    <xf numFmtId="0" fontId="0" fillId="0" borderId="17" xfId="0" applyBorder="1"/>
    <xf numFmtId="0" fontId="0" fillId="0" borderId="16" xfId="0" applyBorder="1"/>
    <xf numFmtId="0" fontId="4" fillId="0" borderId="21" xfId="0" applyNumberFormat="1" applyFont="1" applyFill="1" applyBorder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19" xfId="0" applyBorder="1"/>
    <xf numFmtId="0" fontId="1" fillId="0" borderId="0" xfId="0" applyFont="1" applyAlignment="1"/>
    <xf numFmtId="0" fontId="0" fillId="4" borderId="0" xfId="0" applyFill="1"/>
    <xf numFmtId="0" fontId="0" fillId="15" borderId="1" xfId="0" applyFill="1" applyBorder="1"/>
    <xf numFmtId="2" fontId="0" fillId="15" borderId="1" xfId="0" applyNumberFormat="1" applyFill="1" applyBorder="1"/>
    <xf numFmtId="0" fontId="0" fillId="15" borderId="4" xfId="0" applyFill="1" applyBorder="1"/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7" xfId="0" applyFont="1" applyBorder="1" applyAlignment="1">
      <alignment vertical="center"/>
    </xf>
    <xf numFmtId="0" fontId="15" fillId="0" borderId="25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2" fillId="0" borderId="16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0" fillId="0" borderId="0" xfId="0" applyAlignment="1">
      <alignment wrapText="1"/>
    </xf>
    <xf numFmtId="2" fontId="0" fillId="16" borderId="0" xfId="0" applyNumberFormat="1" applyFill="1"/>
    <xf numFmtId="2" fontId="0" fillId="0" borderId="14" xfId="0" applyNumberFormat="1" applyBorder="1"/>
    <xf numFmtId="0" fontId="0" fillId="4" borderId="1" xfId="0" applyFont="1" applyFill="1" applyBorder="1"/>
    <xf numFmtId="0" fontId="8" fillId="4" borderId="1" xfId="0" applyFont="1" applyFill="1" applyBorder="1"/>
    <xf numFmtId="0" fontId="0" fillId="17" borderId="1" xfId="0" applyFont="1" applyFill="1" applyBorder="1"/>
    <xf numFmtId="0" fontId="0" fillId="17" borderId="1" xfId="0" applyFill="1" applyBorder="1"/>
    <xf numFmtId="2" fontId="0" fillId="17" borderId="1" xfId="0" applyNumberFormat="1" applyFill="1" applyBorder="1"/>
    <xf numFmtId="0" fontId="0" fillId="18" borderId="1" xfId="0" applyFill="1" applyBorder="1"/>
    <xf numFmtId="2" fontId="0" fillId="18" borderId="1" xfId="0" applyNumberFormat="1" applyFill="1" applyBorder="1"/>
    <xf numFmtId="0" fontId="0" fillId="9" borderId="1" xfId="0" applyFont="1" applyFill="1" applyBorder="1"/>
    <xf numFmtId="2" fontId="0" fillId="9" borderId="1" xfId="0" applyNumberFormat="1" applyFill="1" applyBorder="1"/>
    <xf numFmtId="2" fontId="0" fillId="10" borderId="1" xfId="0" applyNumberFormat="1" applyFill="1" applyBorder="1"/>
    <xf numFmtId="0" fontId="0" fillId="19" borderId="1" xfId="0" applyFill="1" applyBorder="1"/>
    <xf numFmtId="2" fontId="0" fillId="19" borderId="1" xfId="0" applyNumberFormat="1" applyFill="1" applyBorder="1"/>
    <xf numFmtId="0" fontId="0" fillId="20" borderId="1" xfId="0" applyFill="1" applyBorder="1"/>
    <xf numFmtId="2" fontId="0" fillId="20" borderId="1" xfId="0" applyNumberFormat="1" applyFill="1" applyBorder="1"/>
    <xf numFmtId="0" fontId="0" fillId="21" borderId="1" xfId="0" applyFill="1" applyBorder="1"/>
    <xf numFmtId="2" fontId="0" fillId="21" borderId="1" xfId="0" applyNumberFormat="1" applyFill="1" applyBorder="1"/>
    <xf numFmtId="0" fontId="8" fillId="21" borderId="1" xfId="0" applyFont="1" applyFill="1" applyBorder="1"/>
    <xf numFmtId="0" fontId="8" fillId="15" borderId="1" xfId="0" applyFont="1" applyFill="1" applyBorder="1"/>
    <xf numFmtId="2" fontId="0" fillId="0" borderId="3" xfId="0" applyNumberFormat="1" applyBorder="1"/>
    <xf numFmtId="2" fontId="0" fillId="0" borderId="2" xfId="0" applyNumberFormat="1" applyBorder="1"/>
    <xf numFmtId="0" fontId="0" fillId="15" borderId="2" xfId="0" applyFill="1" applyBorder="1" applyAlignment="1">
      <alignment horizontal="left"/>
    </xf>
    <xf numFmtId="0" fontId="0" fillId="15" borderId="4" xfId="0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15" borderId="1" xfId="0" applyFont="1" applyFill="1" applyBorder="1"/>
    <xf numFmtId="2" fontId="0" fillId="15" borderId="1" xfId="0" applyNumberFormat="1" applyFont="1" applyFill="1" applyBorder="1"/>
    <xf numFmtId="2" fontId="0" fillId="0" borderId="7" xfId="0" applyNumberFormat="1" applyBorder="1"/>
    <xf numFmtId="2" fontId="0" fillId="0" borderId="28" xfId="0" applyNumberFormat="1" applyBorder="1"/>
    <xf numFmtId="2" fontId="0" fillId="0" borderId="12" xfId="0" applyNumberFormat="1" applyBorder="1"/>
    <xf numFmtId="0" fontId="2" fillId="0" borderId="7" xfId="0" applyFont="1" applyBorder="1" applyAlignment="1">
      <alignment vertical="center"/>
    </xf>
    <xf numFmtId="0" fontId="1" fillId="0" borderId="13" xfId="0" applyFont="1" applyBorder="1"/>
    <xf numFmtId="0" fontId="2" fillId="0" borderId="19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0" fillId="18" borderId="2" xfId="0" applyFill="1" applyBorder="1"/>
    <xf numFmtId="0" fontId="0" fillId="18" borderId="4" xfId="0" applyFill="1" applyBorder="1"/>
    <xf numFmtId="0" fontId="0" fillId="3" borderId="4" xfId="0" applyFill="1" applyBorder="1"/>
    <xf numFmtId="0" fontId="0" fillId="22" borderId="1" xfId="0" applyFill="1" applyBorder="1"/>
    <xf numFmtId="0" fontId="0" fillId="22" borderId="0" xfId="0" applyFill="1"/>
    <xf numFmtId="2" fontId="0" fillId="22" borderId="1" xfId="0" applyNumberFormat="1" applyFill="1" applyBorder="1"/>
    <xf numFmtId="0" fontId="0" fillId="22" borderId="4" xfId="0" applyFill="1" applyBorder="1"/>
    <xf numFmtId="0" fontId="0" fillId="23" borderId="1" xfId="0" applyFill="1" applyBorder="1"/>
    <xf numFmtId="0" fontId="0" fillId="23" borderId="4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14" fontId="0" fillId="15" borderId="5" xfId="0" applyNumberFormat="1" applyFill="1" applyBorder="1"/>
    <xf numFmtId="0" fontId="2" fillId="15" borderId="1" xfId="0" applyFont="1" applyFill="1" applyBorder="1"/>
    <xf numFmtId="14" fontId="0" fillId="15" borderId="1" xfId="0" applyNumberFormat="1" applyFill="1" applyBorder="1"/>
    <xf numFmtId="0" fontId="1" fillId="0" borderId="0" xfId="0" applyFont="1" applyBorder="1" applyAlignment="1">
      <alignment vertical="center"/>
    </xf>
    <xf numFmtId="0" fontId="0" fillId="15" borderId="5" xfId="0" applyFill="1" applyBorder="1" applyAlignment="1">
      <alignment wrapText="1"/>
    </xf>
    <xf numFmtId="2" fontId="3" fillId="15" borderId="1" xfId="0" applyNumberFormat="1" applyFont="1" applyFill="1" applyBorder="1"/>
    <xf numFmtId="0" fontId="3" fillId="15" borderId="1" xfId="0" applyFont="1" applyFill="1" applyBorder="1"/>
    <xf numFmtId="0" fontId="3" fillId="0" borderId="1" xfId="0" applyFont="1" applyFill="1" applyBorder="1" applyAlignment="1">
      <alignment wrapText="1"/>
    </xf>
    <xf numFmtId="0" fontId="0" fillId="15" borderId="0" xfId="0" applyFill="1"/>
    <xf numFmtId="14" fontId="0" fillId="2" borderId="1" xfId="0" applyNumberFormat="1" applyFill="1" applyBorder="1"/>
    <xf numFmtId="0" fontId="0" fillId="2" borderId="5" xfId="0" applyFill="1" applyBorder="1" applyAlignment="1">
      <alignment wrapText="1"/>
    </xf>
    <xf numFmtId="2" fontId="0" fillId="2" borderId="1" xfId="0" applyNumberFormat="1" applyFill="1" applyBorder="1"/>
    <xf numFmtId="0" fontId="0" fillId="2" borderId="1" xfId="0" applyFill="1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165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15" borderId="1" xfId="0" applyNumberFormat="1" applyFill="1" applyBorder="1" applyAlignment="1">
      <alignment vertical="center"/>
    </xf>
    <xf numFmtId="0" fontId="0" fillId="15" borderId="1" xfId="0" applyFill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15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2" fontId="0" fillId="15" borderId="5" xfId="0" applyNumberFormat="1" applyFill="1" applyBorder="1"/>
    <xf numFmtId="0" fontId="0" fillId="0" borderId="0" xfId="0" applyFill="1" applyBorder="1" applyAlignment="1">
      <alignment wrapText="1"/>
    </xf>
    <xf numFmtId="0" fontId="17" fillId="2" borderId="0" xfId="0" applyFont="1" applyFill="1"/>
    <xf numFmtId="165" fontId="0" fillId="15" borderId="1" xfId="0" applyNumberFormat="1" applyFill="1" applyBorder="1"/>
    <xf numFmtId="0" fontId="3" fillId="0" borderId="1" xfId="0" applyFont="1" applyFill="1" applyBorder="1" applyAlignment="1">
      <alignment horizontal="center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3" fillId="15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wrapText="1"/>
    </xf>
    <xf numFmtId="0" fontId="3" fillId="0" borderId="22" xfId="0" applyFont="1" applyFill="1" applyBorder="1" applyAlignment="1">
      <alignment wrapText="1"/>
    </xf>
    <xf numFmtId="2" fontId="0" fillId="0" borderId="0" xfId="0" applyNumberFormat="1" applyFill="1"/>
    <xf numFmtId="2" fontId="0" fillId="0" borderId="29" xfId="0" applyNumberFormat="1" applyBorder="1"/>
    <xf numFmtId="0" fontId="2" fillId="0" borderId="30" xfId="0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2" fontId="2" fillId="0" borderId="29" xfId="0" applyNumberFormat="1" applyFont="1" applyBorder="1" applyAlignment="1">
      <alignment vertical="center"/>
    </xf>
    <xf numFmtId="0" fontId="1" fillId="0" borderId="0" xfId="0" applyFont="1" applyBorder="1"/>
    <xf numFmtId="0" fontId="0" fillId="0" borderId="0" xfId="0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164" fontId="2" fillId="0" borderId="11" xfId="0" applyNumberFormat="1" applyFont="1" applyBorder="1" applyAlignment="1">
      <alignment horizontal="center" vertical="center"/>
    </xf>
    <xf numFmtId="16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8" fillId="0" borderId="27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23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right" vertical="center"/>
    </xf>
    <xf numFmtId="0" fontId="15" fillId="0" borderId="27" xfId="0" applyFont="1" applyBorder="1" applyAlignment="1">
      <alignment vertical="center"/>
    </xf>
    <xf numFmtId="0" fontId="0" fillId="0" borderId="2" xfId="0" applyFill="1" applyBorder="1" applyAlignment="1"/>
    <xf numFmtId="0" fontId="0" fillId="0" borderId="5" xfId="0" applyFill="1" applyBorder="1" applyAlignment="1">
      <alignment wrapText="1"/>
    </xf>
    <xf numFmtId="0" fontId="3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3" fillId="0" borderId="1" xfId="0" applyFont="1" applyFill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1" fillId="24" borderId="1" xfId="0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/>
    </xf>
    <xf numFmtId="0" fontId="1" fillId="25" borderId="1" xfId="0" applyFont="1" applyFill="1" applyBorder="1" applyAlignment="1">
      <alignment vertical="center"/>
    </xf>
    <xf numFmtId="0" fontId="15" fillId="25" borderId="1" xfId="0" applyFont="1" applyFill="1" applyBorder="1" applyAlignment="1">
      <alignment vertical="center"/>
    </xf>
    <xf numFmtId="2" fontId="2" fillId="25" borderId="1" xfId="0" applyNumberFormat="1" applyFont="1" applyFill="1" applyBorder="1" applyAlignment="1">
      <alignment horizontal="right" vertical="center"/>
    </xf>
    <xf numFmtId="0" fontId="20" fillId="0" borderId="1" xfId="0" applyFont="1" applyBorder="1" applyAlignment="1">
      <alignment vertical="center"/>
    </xf>
    <xf numFmtId="0" fontId="2" fillId="25" borderId="1" xfId="0" applyFont="1" applyFill="1" applyBorder="1" applyAlignment="1">
      <alignment horizontal="right" vertical="center"/>
    </xf>
    <xf numFmtId="0" fontId="20" fillId="25" borderId="1" xfId="0" applyFont="1" applyFill="1" applyBorder="1" applyAlignment="1">
      <alignment vertical="center"/>
    </xf>
    <xf numFmtId="0" fontId="16" fillId="24" borderId="1" xfId="0" applyFont="1" applyFill="1" applyBorder="1" applyAlignment="1">
      <alignment vertical="center"/>
    </xf>
    <xf numFmtId="8" fontId="2" fillId="24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10" fontId="2" fillId="0" borderId="0" xfId="0" applyNumberFormat="1" applyFont="1" applyAlignment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1" fontId="3" fillId="0" borderId="14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9" fontId="3" fillId="0" borderId="1" xfId="2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170" fontId="3" fillId="9" borderId="1" xfId="0" applyNumberFormat="1" applyFont="1" applyFill="1" applyBorder="1" applyAlignment="1">
      <alignment horizontal="center"/>
    </xf>
    <xf numFmtId="9" fontId="3" fillId="9" borderId="1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14" xfId="0" applyFont="1" applyFill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168" fontId="0" fillId="0" borderId="0" xfId="2" applyNumberFormat="1" applyFont="1"/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3" fillId="0" borderId="4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0" fontId="1" fillId="0" borderId="13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15" borderId="16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17" borderId="16" xfId="0" applyFill="1" applyBorder="1" applyAlignment="1">
      <alignment horizontal="center"/>
    </xf>
    <xf numFmtId="0" fontId="0" fillId="18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19" borderId="16" xfId="0" applyFill="1" applyBorder="1" applyAlignment="1">
      <alignment horizontal="center"/>
    </xf>
    <xf numFmtId="0" fontId="0" fillId="20" borderId="16" xfId="0" applyFill="1" applyBorder="1" applyAlignment="1">
      <alignment horizontal="center"/>
    </xf>
    <xf numFmtId="0" fontId="0" fillId="21" borderId="16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" xfId="0" applyFont="1" applyBorder="1" applyAlignment="1"/>
    <xf numFmtId="0" fontId="3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7" fillId="0" borderId="18" xfId="1" applyFont="1" applyBorder="1" applyAlignment="1">
      <alignment horizontal="center" vertical="center" wrapText="1"/>
    </xf>
    <xf numFmtId="43" fontId="7" fillId="0" borderId="5" xfId="1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0" fontId="19" fillId="25" borderId="1" xfId="0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24" xfId="0" applyFont="1" applyBorder="1" applyAlignment="1">
      <alignment vertical="center"/>
    </xf>
    <xf numFmtId="0" fontId="15" fillId="0" borderId="9" xfId="0" applyFont="1" applyBorder="1" applyAlignment="1">
      <alignment vertical="center"/>
    </xf>
  </cellXfs>
  <cellStyles count="3">
    <cellStyle name="Millares" xfId="1" builtinId="3"/>
    <cellStyle name="Normal" xfId="0" builtinId="0"/>
    <cellStyle name="Porcentaje" xfId="2" builtinId="5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FF"/>
      <color rgb="FF00FF00"/>
      <color rgb="FFFF6699"/>
      <color rgb="FF339966"/>
      <color rgb="FF6600CC"/>
      <color rgb="FFFF0000"/>
      <color rgb="FFCC33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HA1/Dropbox/tesis%20avances/TESIS/calculo%20tas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HA1/Dropbox/tesis%20avances/TESIS/presupuesto%20m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 MOD "/>
      <sheetName val="Hoja1"/>
      <sheetName val="tasa CIF"/>
    </sheetNames>
    <sheetDataSet>
      <sheetData sheetId="0">
        <row r="7">
          <cell r="K7">
            <v>10.912443871572533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par el 2015"/>
      <sheetName val="Rol dic 2014  para tesis"/>
      <sheetName val="rol de pagos  2014"/>
    </sheetNames>
    <sheetDataSet>
      <sheetData sheetId="0">
        <row r="32">
          <cell r="N32">
            <v>46563.398000000001</v>
          </cell>
        </row>
      </sheetData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3"/>
  <sheetViews>
    <sheetView topLeftCell="B424" workbookViewId="0">
      <selection activeCell="E427" sqref="E427"/>
    </sheetView>
  </sheetViews>
  <sheetFormatPr baseColWidth="10" defaultColWidth="11.42578125" defaultRowHeight="15.75" x14ac:dyDescent="0.25"/>
  <cols>
    <col min="1" max="1" width="18" style="13" customWidth="1"/>
    <col min="2" max="2" width="33.7109375" style="13" customWidth="1"/>
    <col min="3" max="3" width="11.42578125" style="13"/>
    <col min="4" max="4" width="13.5703125" style="13" customWidth="1"/>
    <col min="5" max="6" width="11.42578125" style="13"/>
    <col min="7" max="7" width="13.28515625" style="13" customWidth="1"/>
    <col min="8" max="9" width="11.42578125" style="13"/>
    <col min="10" max="10" width="12.85546875" style="13" customWidth="1"/>
    <col min="11" max="16384" width="11.42578125" style="13"/>
  </cols>
  <sheetData>
    <row r="1" spans="1:11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5">
      <c r="A2" s="456" t="s">
        <v>10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</row>
    <row r="3" spans="1:11" x14ac:dyDescent="0.25">
      <c r="A3" s="456" t="s">
        <v>11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</row>
    <row r="4" spans="1:11" x14ac:dyDescent="0.25">
      <c r="A4" s="14" t="s">
        <v>8</v>
      </c>
      <c r="B4" s="461" t="s">
        <v>13</v>
      </c>
      <c r="C4" s="462"/>
      <c r="D4" s="462"/>
      <c r="E4" s="463"/>
      <c r="F4" s="15" t="s">
        <v>48</v>
      </c>
      <c r="G4" s="458" t="s">
        <v>49</v>
      </c>
      <c r="H4" s="459"/>
      <c r="I4" s="459"/>
      <c r="J4" s="459"/>
      <c r="K4" s="460"/>
    </row>
    <row r="5" spans="1:11" x14ac:dyDescent="0.25">
      <c r="A5" s="12" t="s">
        <v>9</v>
      </c>
      <c r="B5" s="457" t="s">
        <v>41</v>
      </c>
      <c r="C5" s="457"/>
      <c r="D5" s="457"/>
      <c r="E5" s="457"/>
      <c r="F5" s="16" t="s">
        <v>50</v>
      </c>
      <c r="G5" s="457" t="s">
        <v>52</v>
      </c>
      <c r="H5" s="457"/>
      <c r="I5" s="457"/>
      <c r="J5" s="457"/>
      <c r="K5" s="457"/>
    </row>
    <row r="6" spans="1:11" x14ac:dyDescent="0.25">
      <c r="A6" s="455" t="s">
        <v>0</v>
      </c>
      <c r="B6" s="455" t="s">
        <v>1</v>
      </c>
      <c r="C6" s="455" t="s">
        <v>2</v>
      </c>
      <c r="D6" s="455"/>
      <c r="E6" s="455"/>
      <c r="F6" s="455" t="s">
        <v>3</v>
      </c>
      <c r="G6" s="455"/>
      <c r="H6" s="455"/>
      <c r="I6" s="455" t="s">
        <v>4</v>
      </c>
      <c r="J6" s="455"/>
      <c r="K6" s="455"/>
    </row>
    <row r="7" spans="1:11" x14ac:dyDescent="0.25">
      <c r="A7" s="455"/>
      <c r="B7" s="455"/>
      <c r="C7" s="14" t="s">
        <v>5</v>
      </c>
      <c r="D7" s="14" t="s">
        <v>6</v>
      </c>
      <c r="E7" s="14" t="s">
        <v>7</v>
      </c>
      <c r="F7" s="14" t="s">
        <v>5</v>
      </c>
      <c r="G7" s="14" t="s">
        <v>6</v>
      </c>
      <c r="H7" s="14" t="s">
        <v>7</v>
      </c>
      <c r="I7" s="14" t="s">
        <v>5</v>
      </c>
      <c r="J7" s="14" t="s">
        <v>6</v>
      </c>
      <c r="K7" s="14" t="s">
        <v>7</v>
      </c>
    </row>
    <row r="8" spans="1:11" x14ac:dyDescent="0.25">
      <c r="A8" s="17"/>
      <c r="B8" s="17" t="s">
        <v>42</v>
      </c>
      <c r="C8" s="17"/>
      <c r="D8" s="17"/>
      <c r="E8" s="17"/>
      <c r="F8" s="17"/>
      <c r="G8" s="17"/>
      <c r="H8" s="17"/>
      <c r="I8" s="17">
        <v>0</v>
      </c>
      <c r="J8" s="17">
        <v>0</v>
      </c>
      <c r="K8" s="17">
        <v>0</v>
      </c>
    </row>
    <row r="9" spans="1:11" x14ac:dyDescent="0.25">
      <c r="A9" s="18">
        <v>42009</v>
      </c>
      <c r="B9" s="19" t="s">
        <v>203</v>
      </c>
      <c r="C9" s="6">
        <v>1200</v>
      </c>
      <c r="D9" s="99">
        <f>+E9/C9</f>
        <v>1.6666666666666666E-2</v>
      </c>
      <c r="E9" s="19">
        <v>20</v>
      </c>
      <c r="F9" s="19"/>
      <c r="G9" s="19"/>
      <c r="H9" s="19"/>
      <c r="I9" s="6">
        <v>1200</v>
      </c>
      <c r="J9" s="99">
        <f>+K9/I9</f>
        <v>1.6666666666666666E-2</v>
      </c>
      <c r="K9" s="19">
        <f>+E9</f>
        <v>20</v>
      </c>
    </row>
    <row r="10" spans="1:11" x14ac:dyDescent="0.25">
      <c r="A10" s="20"/>
      <c r="B10" s="14"/>
      <c r="C10" s="14"/>
      <c r="D10" s="14"/>
      <c r="E10" s="14"/>
      <c r="F10" s="14"/>
      <c r="G10" s="21"/>
      <c r="H10" s="14"/>
      <c r="I10" s="14"/>
      <c r="J10" s="21"/>
      <c r="K10" s="21"/>
    </row>
    <row r="11" spans="1:11" x14ac:dyDescent="0.25">
      <c r="A11" s="20"/>
      <c r="B11" s="14"/>
      <c r="C11" s="14"/>
      <c r="D11" s="14"/>
      <c r="E11" s="14"/>
      <c r="F11" s="14"/>
      <c r="G11" s="21"/>
      <c r="H11" s="14"/>
      <c r="I11" s="14"/>
      <c r="J11" s="21"/>
      <c r="K11" s="21"/>
    </row>
    <row r="12" spans="1:11" x14ac:dyDescent="0.25">
      <c r="A12" s="20"/>
      <c r="B12" s="14"/>
      <c r="C12" s="14"/>
      <c r="D12" s="14"/>
      <c r="E12" s="14"/>
      <c r="F12" s="14"/>
      <c r="G12" s="21"/>
      <c r="H12" s="21"/>
      <c r="I12" s="14"/>
      <c r="J12" s="21"/>
      <c r="K12" s="21"/>
    </row>
    <row r="13" spans="1:1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 x14ac:dyDescent="0.25">
      <c r="A15" s="456" t="s">
        <v>10</v>
      </c>
      <c r="B15" s="456"/>
      <c r="C15" s="456"/>
      <c r="D15" s="456"/>
      <c r="E15" s="456"/>
      <c r="F15" s="456"/>
      <c r="G15" s="456"/>
      <c r="H15" s="456"/>
      <c r="I15" s="456"/>
      <c r="J15" s="456"/>
      <c r="K15" s="456"/>
    </row>
    <row r="16" spans="1:11" x14ac:dyDescent="0.25">
      <c r="A16" s="456" t="s">
        <v>11</v>
      </c>
      <c r="B16" s="456"/>
      <c r="C16" s="456"/>
      <c r="D16" s="456"/>
      <c r="E16" s="456"/>
      <c r="F16" s="456"/>
      <c r="G16" s="456"/>
      <c r="H16" s="456"/>
      <c r="I16" s="456"/>
      <c r="J16" s="456"/>
      <c r="K16" s="456"/>
    </row>
    <row r="17" spans="1:11" x14ac:dyDescent="0.25">
      <c r="A17" s="14" t="s">
        <v>8</v>
      </c>
      <c r="B17" s="458" t="s">
        <v>14</v>
      </c>
      <c r="C17" s="459"/>
      <c r="D17" s="459"/>
      <c r="E17" s="460"/>
      <c r="F17" s="15" t="s">
        <v>48</v>
      </c>
      <c r="G17" s="458" t="s">
        <v>49</v>
      </c>
      <c r="H17" s="459"/>
      <c r="I17" s="459"/>
      <c r="J17" s="459"/>
      <c r="K17" s="460"/>
    </row>
    <row r="18" spans="1:11" x14ac:dyDescent="0.25">
      <c r="A18" s="12" t="s">
        <v>9</v>
      </c>
      <c r="B18" s="457" t="s">
        <v>44</v>
      </c>
      <c r="C18" s="457"/>
      <c r="D18" s="457"/>
      <c r="E18" s="457"/>
      <c r="F18" s="16" t="s">
        <v>12</v>
      </c>
      <c r="G18" s="457" t="s">
        <v>53</v>
      </c>
      <c r="H18" s="457"/>
      <c r="I18" s="457"/>
      <c r="J18" s="457"/>
      <c r="K18" s="457"/>
    </row>
    <row r="19" spans="1:11" x14ac:dyDescent="0.25">
      <c r="A19" s="455" t="s">
        <v>0</v>
      </c>
      <c r="B19" s="455" t="s">
        <v>1</v>
      </c>
      <c r="C19" s="455" t="s">
        <v>2</v>
      </c>
      <c r="D19" s="455"/>
      <c r="E19" s="455"/>
      <c r="F19" s="455" t="s">
        <v>3</v>
      </c>
      <c r="G19" s="455"/>
      <c r="H19" s="455"/>
      <c r="I19" s="455" t="s">
        <v>4</v>
      </c>
      <c r="J19" s="455"/>
      <c r="K19" s="455"/>
    </row>
    <row r="20" spans="1:11" x14ac:dyDescent="0.25">
      <c r="A20" s="455"/>
      <c r="B20" s="455"/>
      <c r="C20" s="14" t="s">
        <v>5</v>
      </c>
      <c r="D20" s="14" t="s">
        <v>6</v>
      </c>
      <c r="E20" s="14" t="s">
        <v>7</v>
      </c>
      <c r="F20" s="14" t="s">
        <v>5</v>
      </c>
      <c r="G20" s="14" t="s">
        <v>6</v>
      </c>
      <c r="H20" s="14" t="s">
        <v>7</v>
      </c>
      <c r="I20" s="14" t="s">
        <v>5</v>
      </c>
      <c r="J20" s="14" t="s">
        <v>6</v>
      </c>
      <c r="K20" s="14" t="s">
        <v>7</v>
      </c>
    </row>
    <row r="21" spans="1:11" x14ac:dyDescent="0.25">
      <c r="A21" s="17"/>
      <c r="B21" s="17" t="s">
        <v>42</v>
      </c>
      <c r="C21" s="14"/>
      <c r="D21" s="14"/>
      <c r="E21" s="14"/>
      <c r="F21" s="14"/>
      <c r="G21" s="14"/>
      <c r="H21" s="14"/>
      <c r="I21" s="17">
        <v>0</v>
      </c>
      <c r="J21" s="17">
        <v>0</v>
      </c>
      <c r="K21" s="17">
        <v>0</v>
      </c>
    </row>
    <row r="22" spans="1:11" x14ac:dyDescent="0.25">
      <c r="A22" s="18">
        <v>42009</v>
      </c>
      <c r="B22" s="19" t="s">
        <v>203</v>
      </c>
      <c r="C22" s="14">
        <v>1500</v>
      </c>
      <c r="D22" s="21">
        <f>+E22/C22</f>
        <v>1.0666666666666666E-2</v>
      </c>
      <c r="E22" s="14">
        <v>16</v>
      </c>
      <c r="F22" s="14"/>
      <c r="G22" s="14"/>
      <c r="H22" s="14"/>
      <c r="I22" s="14">
        <f>+I21+C22</f>
        <v>1500</v>
      </c>
      <c r="J22" s="21">
        <f>+K22/I22</f>
        <v>1.0666666666666666E-2</v>
      </c>
      <c r="K22" s="14">
        <f>+K21+E22</f>
        <v>16</v>
      </c>
    </row>
    <row r="23" spans="1:11" x14ac:dyDescent="0.25">
      <c r="A23" s="20"/>
      <c r="B23" s="14"/>
      <c r="C23" s="14"/>
      <c r="D23" s="14"/>
      <c r="E23" s="14"/>
      <c r="F23" s="14"/>
      <c r="G23" s="21"/>
      <c r="H23" s="14"/>
      <c r="I23" s="14"/>
      <c r="J23" s="21"/>
      <c r="K23" s="21"/>
    </row>
    <row r="24" spans="1:11" x14ac:dyDescent="0.25">
      <c r="A24" s="20"/>
      <c r="B24" s="14"/>
      <c r="C24" s="14"/>
      <c r="D24" s="14"/>
      <c r="E24" s="14"/>
      <c r="F24" s="14"/>
      <c r="G24" s="21"/>
      <c r="H24" s="14"/>
      <c r="I24" s="14"/>
      <c r="J24" s="21"/>
      <c r="K24" s="21"/>
    </row>
    <row r="25" spans="1:11" x14ac:dyDescent="0.25">
      <c r="A25" s="20"/>
      <c r="B25" s="14"/>
      <c r="C25" s="14"/>
      <c r="D25" s="14"/>
      <c r="E25" s="14"/>
      <c r="F25" s="14"/>
      <c r="G25" s="21"/>
      <c r="H25" s="21"/>
      <c r="I25" s="14"/>
      <c r="J25" s="21"/>
      <c r="K25" s="21"/>
    </row>
    <row r="28" spans="1:11" x14ac:dyDescent="0.25">
      <c r="A28" s="456" t="s">
        <v>10</v>
      </c>
      <c r="B28" s="456"/>
      <c r="C28" s="456"/>
      <c r="D28" s="456"/>
      <c r="E28" s="456"/>
      <c r="F28" s="456"/>
      <c r="G28" s="456"/>
      <c r="H28" s="456"/>
      <c r="I28" s="456"/>
      <c r="J28" s="456"/>
      <c r="K28" s="456"/>
    </row>
    <row r="29" spans="1:11" x14ac:dyDescent="0.25">
      <c r="A29" s="456" t="s">
        <v>11</v>
      </c>
      <c r="B29" s="456"/>
      <c r="C29" s="456"/>
      <c r="D29" s="456"/>
      <c r="E29" s="456"/>
      <c r="F29" s="456"/>
      <c r="G29" s="456"/>
      <c r="H29" s="456"/>
      <c r="I29" s="456"/>
      <c r="J29" s="456"/>
      <c r="K29" s="456"/>
    </row>
    <row r="30" spans="1:11" x14ac:dyDescent="0.25">
      <c r="A30" s="14" t="s">
        <v>8</v>
      </c>
      <c r="B30" s="458" t="s">
        <v>28</v>
      </c>
      <c r="C30" s="459"/>
      <c r="D30" s="459"/>
      <c r="E30" s="460"/>
      <c r="F30" s="15" t="s">
        <v>48</v>
      </c>
      <c r="G30" s="458" t="s">
        <v>49</v>
      </c>
      <c r="H30" s="459"/>
      <c r="I30" s="459"/>
      <c r="J30" s="459"/>
      <c r="K30" s="460"/>
    </row>
    <row r="31" spans="1:11" x14ac:dyDescent="0.25">
      <c r="A31" s="12" t="s">
        <v>9</v>
      </c>
      <c r="B31" s="457" t="s">
        <v>45</v>
      </c>
      <c r="C31" s="457"/>
      <c r="D31" s="457"/>
      <c r="E31" s="457"/>
      <c r="F31" s="16" t="s">
        <v>50</v>
      </c>
      <c r="G31" s="459" t="s">
        <v>52</v>
      </c>
      <c r="H31" s="459"/>
      <c r="I31" s="459"/>
      <c r="J31" s="459"/>
      <c r="K31" s="460"/>
    </row>
    <row r="32" spans="1:11" x14ac:dyDescent="0.25">
      <c r="A32" s="455" t="s">
        <v>0</v>
      </c>
      <c r="B32" s="455" t="s">
        <v>1</v>
      </c>
      <c r="C32" s="455" t="s">
        <v>2</v>
      </c>
      <c r="D32" s="455"/>
      <c r="E32" s="455"/>
      <c r="F32" s="455" t="s">
        <v>3</v>
      </c>
      <c r="G32" s="455"/>
      <c r="H32" s="455"/>
      <c r="I32" s="455" t="s">
        <v>4</v>
      </c>
      <c r="J32" s="455"/>
      <c r="K32" s="455"/>
    </row>
    <row r="33" spans="1:11" x14ac:dyDescent="0.25">
      <c r="A33" s="455"/>
      <c r="B33" s="455"/>
      <c r="C33" s="14" t="s">
        <v>5</v>
      </c>
      <c r="D33" s="14" t="s">
        <v>6</v>
      </c>
      <c r="E33" s="14" t="s">
        <v>7</v>
      </c>
      <c r="F33" s="14" t="s">
        <v>5</v>
      </c>
      <c r="G33" s="14" t="s">
        <v>6</v>
      </c>
      <c r="H33" s="14" t="s">
        <v>7</v>
      </c>
      <c r="I33" s="14" t="s">
        <v>5</v>
      </c>
      <c r="J33" s="14" t="s">
        <v>6</v>
      </c>
      <c r="K33" s="14" t="s">
        <v>7</v>
      </c>
    </row>
    <row r="34" spans="1:11" x14ac:dyDescent="0.25">
      <c r="A34" s="17"/>
      <c r="B34" s="17" t="s">
        <v>42</v>
      </c>
      <c r="C34" s="14"/>
      <c r="D34" s="14"/>
      <c r="E34" s="14"/>
      <c r="F34" s="14"/>
      <c r="G34" s="14"/>
      <c r="H34" s="14"/>
      <c r="I34" s="17">
        <v>0</v>
      </c>
      <c r="J34" s="17">
        <v>0</v>
      </c>
      <c r="K34" s="17">
        <v>0</v>
      </c>
    </row>
    <row r="35" spans="1:11" x14ac:dyDescent="0.25">
      <c r="A35" s="18">
        <v>42009</v>
      </c>
      <c r="B35" s="19" t="s">
        <v>203</v>
      </c>
      <c r="C35" s="14">
        <v>5100</v>
      </c>
      <c r="D35" s="21">
        <f>+E35/C35</f>
        <v>5.2200000000000003E-2</v>
      </c>
      <c r="E35" s="14">
        <v>266.22000000000003</v>
      </c>
      <c r="F35" s="14"/>
      <c r="G35" s="14"/>
      <c r="H35" s="14"/>
      <c r="I35" s="14">
        <f>+I34+C35</f>
        <v>5100</v>
      </c>
      <c r="J35" s="21">
        <f>+K35/I35</f>
        <v>5.2200000000000003E-2</v>
      </c>
      <c r="K35" s="21">
        <f>+K34+E35</f>
        <v>266.22000000000003</v>
      </c>
    </row>
    <row r="36" spans="1:11" x14ac:dyDescent="0.25">
      <c r="A36" s="106">
        <v>42284</v>
      </c>
      <c r="B36" s="107" t="s">
        <v>330</v>
      </c>
      <c r="C36" s="107"/>
      <c r="D36" s="107"/>
      <c r="E36" s="107"/>
      <c r="F36" s="107">
        <v>1</v>
      </c>
      <c r="G36" s="108">
        <f>+J35</f>
        <v>5.2200000000000003E-2</v>
      </c>
      <c r="H36" s="108">
        <f>+G36*F36</f>
        <v>5.2200000000000003E-2</v>
      </c>
      <c r="I36" s="107">
        <f>+I35-F36</f>
        <v>5099</v>
      </c>
      <c r="J36" s="108">
        <f>+K36/I36</f>
        <v>5.2200000000000003E-2</v>
      </c>
      <c r="K36" s="108">
        <f>+K35-H36</f>
        <v>266.1678</v>
      </c>
    </row>
    <row r="37" spans="1:11" x14ac:dyDescent="0.25">
      <c r="A37" s="106">
        <v>42290</v>
      </c>
      <c r="B37" s="107" t="s">
        <v>343</v>
      </c>
      <c r="C37" s="107"/>
      <c r="D37" s="107"/>
      <c r="E37" s="107"/>
      <c r="F37" s="107">
        <v>1</v>
      </c>
      <c r="G37" s="108">
        <f>+J36</f>
        <v>5.2200000000000003E-2</v>
      </c>
      <c r="H37" s="108">
        <f>+G37*F37</f>
        <v>5.2200000000000003E-2</v>
      </c>
      <c r="I37" s="107">
        <f>+I36-F37</f>
        <v>5098</v>
      </c>
      <c r="J37" s="108">
        <f>+K37/I37</f>
        <v>5.2199999999999996E-2</v>
      </c>
      <c r="K37" s="108">
        <f>+K36-H37</f>
        <v>266.11559999999997</v>
      </c>
    </row>
    <row r="38" spans="1:11" x14ac:dyDescent="0.25">
      <c r="A38" s="106">
        <v>42297</v>
      </c>
      <c r="B38" s="107" t="s">
        <v>363</v>
      </c>
      <c r="C38" s="107"/>
      <c r="D38" s="107"/>
      <c r="E38" s="107"/>
      <c r="F38" s="107">
        <v>1</v>
      </c>
      <c r="G38" s="108">
        <f>+J37</f>
        <v>5.2199999999999996E-2</v>
      </c>
      <c r="H38" s="108">
        <f>+G38*F38</f>
        <v>5.2199999999999996E-2</v>
      </c>
      <c r="I38" s="107">
        <f>+I37-F38</f>
        <v>5097</v>
      </c>
      <c r="J38" s="108">
        <f>+K38/I38</f>
        <v>5.2199999999999989E-2</v>
      </c>
      <c r="K38" s="108">
        <f>+K37-H38</f>
        <v>266.06339999999994</v>
      </c>
    </row>
    <row r="39" spans="1:11" x14ac:dyDescent="0.25">
      <c r="A39" s="106">
        <v>42304</v>
      </c>
      <c r="B39" s="107" t="s">
        <v>390</v>
      </c>
      <c r="C39" s="107"/>
      <c r="D39" s="107"/>
      <c r="E39" s="107"/>
      <c r="F39" s="107">
        <v>1</v>
      </c>
      <c r="G39" s="108">
        <f>+J38</f>
        <v>5.2199999999999989E-2</v>
      </c>
      <c r="H39" s="108">
        <f>+G39*F39</f>
        <v>5.2199999999999989E-2</v>
      </c>
      <c r="I39" s="107">
        <f>+I38-F39</f>
        <v>5096</v>
      </c>
      <c r="J39" s="108">
        <f>+K39/I39</f>
        <v>5.2199999999999983E-2</v>
      </c>
      <c r="K39" s="108">
        <f>+K38-H39</f>
        <v>266.01119999999992</v>
      </c>
    </row>
    <row r="40" spans="1:11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</row>
    <row r="47" spans="1:11" x14ac:dyDescent="0.25">
      <c r="A47" s="456" t="s">
        <v>10</v>
      </c>
      <c r="B47" s="456"/>
      <c r="C47" s="456"/>
      <c r="D47" s="456"/>
      <c r="E47" s="456"/>
      <c r="F47" s="456"/>
      <c r="G47" s="456"/>
      <c r="H47" s="456"/>
      <c r="I47" s="456"/>
      <c r="J47" s="456"/>
      <c r="K47" s="456"/>
    </row>
    <row r="48" spans="1:11" ht="15" customHeight="1" x14ac:dyDescent="0.25">
      <c r="A48" s="456" t="s">
        <v>11</v>
      </c>
      <c r="B48" s="456"/>
      <c r="C48" s="456"/>
      <c r="D48" s="456"/>
      <c r="E48" s="456"/>
      <c r="F48" s="456"/>
      <c r="G48" s="456"/>
      <c r="H48" s="456"/>
      <c r="I48" s="456"/>
      <c r="J48" s="456"/>
      <c r="K48" s="456"/>
    </row>
    <row r="49" spans="1:11" ht="15" customHeight="1" x14ac:dyDescent="0.25">
      <c r="A49" s="14" t="s">
        <v>8</v>
      </c>
      <c r="B49" s="458" t="s">
        <v>15</v>
      </c>
      <c r="C49" s="459"/>
      <c r="D49" s="459"/>
      <c r="E49" s="460"/>
      <c r="F49" s="15" t="s">
        <v>48</v>
      </c>
      <c r="G49" s="458" t="s">
        <v>49</v>
      </c>
      <c r="H49" s="459"/>
      <c r="I49" s="459"/>
      <c r="J49" s="459"/>
      <c r="K49" s="460"/>
    </row>
    <row r="50" spans="1:11" ht="15" customHeight="1" x14ac:dyDescent="0.25">
      <c r="A50" s="12" t="s">
        <v>9</v>
      </c>
      <c r="B50" s="457" t="s">
        <v>46</v>
      </c>
      <c r="C50" s="457"/>
      <c r="D50" s="457"/>
      <c r="E50" s="457"/>
      <c r="F50" s="15" t="s">
        <v>50</v>
      </c>
      <c r="G50" s="459" t="s">
        <v>54</v>
      </c>
      <c r="H50" s="459"/>
      <c r="I50" s="459"/>
      <c r="J50" s="459"/>
      <c r="K50" s="460"/>
    </row>
    <row r="51" spans="1:11" ht="15" customHeight="1" x14ac:dyDescent="0.25">
      <c r="A51" s="455" t="s">
        <v>0</v>
      </c>
      <c r="B51" s="455" t="s">
        <v>1</v>
      </c>
      <c r="C51" s="455" t="s">
        <v>2</v>
      </c>
      <c r="D51" s="455"/>
      <c r="E51" s="455"/>
      <c r="F51" s="455" t="s">
        <v>3</v>
      </c>
      <c r="G51" s="455"/>
      <c r="H51" s="455"/>
      <c r="I51" s="455" t="s">
        <v>4</v>
      </c>
      <c r="J51" s="455"/>
      <c r="K51" s="455"/>
    </row>
    <row r="52" spans="1:11" ht="15" customHeight="1" x14ac:dyDescent="0.25">
      <c r="A52" s="455"/>
      <c r="B52" s="455"/>
      <c r="C52" s="14" t="s">
        <v>5</v>
      </c>
      <c r="D52" s="14" t="s">
        <v>6</v>
      </c>
      <c r="E52" s="14" t="s">
        <v>7</v>
      </c>
      <c r="F52" s="14" t="s">
        <v>5</v>
      </c>
      <c r="G52" s="14" t="s">
        <v>6</v>
      </c>
      <c r="H52" s="14" t="s">
        <v>7</v>
      </c>
      <c r="I52" s="14" t="s">
        <v>5</v>
      </c>
      <c r="J52" s="14" t="s">
        <v>6</v>
      </c>
      <c r="K52" s="14" t="s">
        <v>7</v>
      </c>
    </row>
    <row r="53" spans="1:11" ht="15" customHeight="1" x14ac:dyDescent="0.25">
      <c r="A53" s="20"/>
      <c r="B53" s="17" t="s">
        <v>42</v>
      </c>
      <c r="C53" s="14"/>
      <c r="D53" s="14"/>
      <c r="E53" s="14"/>
      <c r="F53" s="14"/>
      <c r="G53" s="14"/>
      <c r="H53" s="14"/>
      <c r="I53" s="17">
        <v>0</v>
      </c>
      <c r="J53" s="17">
        <v>0</v>
      </c>
      <c r="K53" s="17">
        <v>0</v>
      </c>
    </row>
    <row r="54" spans="1:11" x14ac:dyDescent="0.25">
      <c r="A54" s="20">
        <v>42009</v>
      </c>
      <c r="B54" s="14" t="s">
        <v>203</v>
      </c>
      <c r="C54" s="14">
        <v>6500</v>
      </c>
      <c r="D54" s="21">
        <f>+E54/C54</f>
        <v>4.2999999999999997E-2</v>
      </c>
      <c r="E54" s="14">
        <v>279.5</v>
      </c>
      <c r="F54" s="14"/>
      <c r="G54" s="14"/>
      <c r="H54" s="14"/>
      <c r="I54" s="14">
        <f>+I53+C54</f>
        <v>6500</v>
      </c>
      <c r="J54" s="21">
        <f t="shared" ref="J54:J59" si="0">+K54/I54</f>
        <v>4.2999999999999997E-2</v>
      </c>
      <c r="K54" s="21">
        <f>+K53+E54</f>
        <v>279.5</v>
      </c>
    </row>
    <row r="55" spans="1:11" x14ac:dyDescent="0.25">
      <c r="A55" s="106">
        <v>42284</v>
      </c>
      <c r="B55" s="107" t="s">
        <v>330</v>
      </c>
      <c r="C55" s="107"/>
      <c r="D55" s="107"/>
      <c r="E55" s="107"/>
      <c r="F55" s="107">
        <v>1</v>
      </c>
      <c r="G55" s="108">
        <f t="shared" ref="G55:G61" si="1">+J54</f>
        <v>4.2999999999999997E-2</v>
      </c>
      <c r="H55" s="108">
        <f t="shared" ref="H55:H60" si="2">+G55*F55</f>
        <v>4.2999999999999997E-2</v>
      </c>
      <c r="I55" s="107">
        <f t="shared" ref="I55:I60" si="3">+I54-F55</f>
        <v>6499</v>
      </c>
      <c r="J55" s="108">
        <f t="shared" si="0"/>
        <v>4.2999999999999997E-2</v>
      </c>
      <c r="K55" s="108">
        <f t="shared" ref="K55:K60" si="4">+K54-H55</f>
        <v>279.45699999999999</v>
      </c>
    </row>
    <row r="56" spans="1:11" x14ac:dyDescent="0.25">
      <c r="A56" s="106">
        <v>42289</v>
      </c>
      <c r="B56" s="107" t="s">
        <v>334</v>
      </c>
      <c r="C56" s="107"/>
      <c r="D56" s="107"/>
      <c r="E56" s="107"/>
      <c r="F56" s="107">
        <v>1</v>
      </c>
      <c r="G56" s="108">
        <f t="shared" si="1"/>
        <v>4.2999999999999997E-2</v>
      </c>
      <c r="H56" s="108">
        <f t="shared" si="2"/>
        <v>4.2999999999999997E-2</v>
      </c>
      <c r="I56" s="107">
        <f t="shared" si="3"/>
        <v>6498</v>
      </c>
      <c r="J56" s="108">
        <f t="shared" si="0"/>
        <v>4.2999999999999997E-2</v>
      </c>
      <c r="K56" s="108">
        <f t="shared" si="4"/>
        <v>279.41399999999999</v>
      </c>
    </row>
    <row r="57" spans="1:11" x14ac:dyDescent="0.25">
      <c r="A57" s="106">
        <v>42290</v>
      </c>
      <c r="B57" s="107" t="s">
        <v>343</v>
      </c>
      <c r="C57" s="107"/>
      <c r="D57" s="107"/>
      <c r="E57" s="107"/>
      <c r="F57" s="107">
        <v>1</v>
      </c>
      <c r="G57" s="108">
        <f t="shared" si="1"/>
        <v>4.2999999999999997E-2</v>
      </c>
      <c r="H57" s="108">
        <f t="shared" si="2"/>
        <v>4.2999999999999997E-2</v>
      </c>
      <c r="I57" s="107">
        <f t="shared" si="3"/>
        <v>6497</v>
      </c>
      <c r="J57" s="108">
        <f t="shared" si="0"/>
        <v>4.2999999999999997E-2</v>
      </c>
      <c r="K57" s="108">
        <f t="shared" si="4"/>
        <v>279.37099999999998</v>
      </c>
    </row>
    <row r="58" spans="1:11" x14ac:dyDescent="0.25">
      <c r="A58" s="122">
        <v>42293</v>
      </c>
      <c r="B58" s="107" t="s">
        <v>354</v>
      </c>
      <c r="C58" s="68"/>
      <c r="D58" s="69"/>
      <c r="E58" s="68"/>
      <c r="F58" s="68">
        <v>1</v>
      </c>
      <c r="G58" s="69">
        <f t="shared" si="1"/>
        <v>4.2999999999999997E-2</v>
      </c>
      <c r="H58" s="69">
        <f t="shared" si="2"/>
        <v>4.2999999999999997E-2</v>
      </c>
      <c r="I58" s="107">
        <f t="shared" si="3"/>
        <v>6496</v>
      </c>
      <c r="J58" s="108">
        <f t="shared" si="0"/>
        <v>4.2999999999999997E-2</v>
      </c>
      <c r="K58" s="108">
        <f t="shared" si="4"/>
        <v>279.32799999999997</v>
      </c>
    </row>
    <row r="59" spans="1:11" x14ac:dyDescent="0.25">
      <c r="A59" s="106">
        <v>42297</v>
      </c>
      <c r="B59" s="107" t="s">
        <v>363</v>
      </c>
      <c r="C59" s="107"/>
      <c r="D59" s="107"/>
      <c r="E59" s="107"/>
      <c r="F59" s="107">
        <v>1</v>
      </c>
      <c r="G59" s="108">
        <f t="shared" si="1"/>
        <v>4.2999999999999997E-2</v>
      </c>
      <c r="H59" s="108">
        <f t="shared" si="2"/>
        <v>4.2999999999999997E-2</v>
      </c>
      <c r="I59" s="107">
        <f t="shared" si="3"/>
        <v>6495</v>
      </c>
      <c r="J59" s="108">
        <f t="shared" si="0"/>
        <v>4.2999999999999997E-2</v>
      </c>
      <c r="K59" s="108">
        <f t="shared" si="4"/>
        <v>279.28499999999997</v>
      </c>
    </row>
    <row r="60" spans="1:11" x14ac:dyDescent="0.25">
      <c r="A60" s="106">
        <v>42300</v>
      </c>
      <c r="B60" s="107" t="s">
        <v>380</v>
      </c>
      <c r="C60" s="107"/>
      <c r="D60" s="107"/>
      <c r="E60" s="107"/>
      <c r="F60" s="107">
        <v>1</v>
      </c>
      <c r="G60" s="108">
        <f t="shared" si="1"/>
        <v>4.2999999999999997E-2</v>
      </c>
      <c r="H60" s="108">
        <f t="shared" si="2"/>
        <v>4.2999999999999997E-2</v>
      </c>
      <c r="I60" s="107">
        <f t="shared" si="3"/>
        <v>6494</v>
      </c>
      <c r="J60" s="108">
        <f t="shared" ref="J60" si="5">+K60/I60</f>
        <v>4.2999999999999997E-2</v>
      </c>
      <c r="K60" s="108">
        <f t="shared" si="4"/>
        <v>279.24199999999996</v>
      </c>
    </row>
    <row r="61" spans="1:11" x14ac:dyDescent="0.25">
      <c r="A61" s="106">
        <v>42304</v>
      </c>
      <c r="B61" s="107" t="s">
        <v>390</v>
      </c>
      <c r="C61" s="107"/>
      <c r="D61" s="107"/>
      <c r="E61" s="107"/>
      <c r="F61" s="107">
        <v>1</v>
      </c>
      <c r="G61" s="108">
        <f t="shared" si="1"/>
        <v>4.2999999999999997E-2</v>
      </c>
      <c r="H61" s="108">
        <f t="shared" ref="H61" si="6">+G61*F61</f>
        <v>4.2999999999999997E-2</v>
      </c>
      <c r="I61" s="107">
        <f t="shared" ref="I61" si="7">+I60-F61</f>
        <v>6493</v>
      </c>
      <c r="J61" s="108">
        <f t="shared" ref="J61" si="8">+K61/I61</f>
        <v>4.2999999999999997E-2</v>
      </c>
      <c r="K61" s="108">
        <f t="shared" ref="K61" si="9">+K60-H61</f>
        <v>279.19899999999996</v>
      </c>
    </row>
    <row r="62" spans="1:11" x14ac:dyDescent="0.25">
      <c r="A62" s="132"/>
      <c r="B62" s="133"/>
      <c r="C62" s="133"/>
      <c r="D62" s="133"/>
      <c r="E62" s="133"/>
      <c r="F62" s="133"/>
      <c r="G62" s="134"/>
      <c r="H62" s="134"/>
      <c r="I62" s="133"/>
      <c r="J62" s="134"/>
      <c r="K62" s="134"/>
    </row>
    <row r="65" spans="1:11" x14ac:dyDescent="0.25">
      <c r="A65" s="456" t="s">
        <v>10</v>
      </c>
      <c r="B65" s="456"/>
      <c r="C65" s="456"/>
      <c r="D65" s="456"/>
      <c r="E65" s="456"/>
      <c r="F65" s="456"/>
      <c r="G65" s="456"/>
      <c r="H65" s="456"/>
      <c r="I65" s="456"/>
      <c r="J65" s="456"/>
      <c r="K65" s="456"/>
    </row>
    <row r="66" spans="1:11" x14ac:dyDescent="0.25">
      <c r="A66" s="456" t="s">
        <v>11</v>
      </c>
      <c r="B66" s="456"/>
      <c r="C66" s="456"/>
      <c r="D66" s="456"/>
      <c r="E66" s="456"/>
      <c r="F66" s="456"/>
      <c r="G66" s="456"/>
      <c r="H66" s="456"/>
      <c r="I66" s="456"/>
      <c r="J66" s="456"/>
      <c r="K66" s="456"/>
    </row>
    <row r="67" spans="1:11" x14ac:dyDescent="0.25">
      <c r="A67" s="14" t="s">
        <v>8</v>
      </c>
      <c r="B67" s="458" t="s">
        <v>17</v>
      </c>
      <c r="C67" s="459"/>
      <c r="D67" s="459"/>
      <c r="E67" s="460"/>
      <c r="F67" s="15" t="s">
        <v>48</v>
      </c>
      <c r="G67" s="458" t="s">
        <v>49</v>
      </c>
      <c r="H67" s="459"/>
      <c r="I67" s="459"/>
      <c r="J67" s="459"/>
      <c r="K67" s="460"/>
    </row>
    <row r="68" spans="1:11" x14ac:dyDescent="0.25">
      <c r="A68" s="12" t="s">
        <v>9</v>
      </c>
      <c r="B68" s="457" t="s">
        <v>72</v>
      </c>
      <c r="C68" s="457"/>
      <c r="D68" s="457"/>
      <c r="E68" s="457"/>
      <c r="F68" s="16" t="s">
        <v>50</v>
      </c>
      <c r="G68" s="459" t="s">
        <v>176</v>
      </c>
      <c r="H68" s="459"/>
      <c r="I68" s="459"/>
      <c r="J68" s="459"/>
      <c r="K68" s="460"/>
    </row>
    <row r="69" spans="1:11" x14ac:dyDescent="0.25">
      <c r="A69" s="455" t="s">
        <v>0</v>
      </c>
      <c r="B69" s="455" t="s">
        <v>1</v>
      </c>
      <c r="C69" s="455" t="s">
        <v>2</v>
      </c>
      <c r="D69" s="455"/>
      <c r="E69" s="455"/>
      <c r="F69" s="455" t="s">
        <v>3</v>
      </c>
      <c r="G69" s="455"/>
      <c r="H69" s="455"/>
      <c r="I69" s="455" t="s">
        <v>4</v>
      </c>
      <c r="J69" s="455"/>
      <c r="K69" s="455"/>
    </row>
    <row r="70" spans="1:11" x14ac:dyDescent="0.25">
      <c r="A70" s="455"/>
      <c r="B70" s="455"/>
      <c r="C70" s="14" t="s">
        <v>5</v>
      </c>
      <c r="D70" s="14" t="s">
        <v>6</v>
      </c>
      <c r="E70" s="14" t="s">
        <v>7</v>
      </c>
      <c r="F70" s="14" t="s">
        <v>5</v>
      </c>
      <c r="G70" s="14" t="s">
        <v>6</v>
      </c>
      <c r="H70" s="14" t="s">
        <v>7</v>
      </c>
      <c r="I70" s="14" t="s">
        <v>5</v>
      </c>
      <c r="J70" s="14" t="s">
        <v>6</v>
      </c>
      <c r="K70" s="14" t="s">
        <v>7</v>
      </c>
    </row>
    <row r="71" spans="1:11" x14ac:dyDescent="0.25">
      <c r="A71" s="20"/>
      <c r="B71" s="17" t="s">
        <v>42</v>
      </c>
      <c r="C71" s="14"/>
      <c r="D71" s="14"/>
      <c r="E71" s="14"/>
      <c r="F71" s="14"/>
      <c r="G71" s="14"/>
      <c r="H71" s="14"/>
      <c r="I71" s="17">
        <v>0</v>
      </c>
      <c r="J71" s="17">
        <v>0</v>
      </c>
      <c r="K71" s="17">
        <v>0</v>
      </c>
    </row>
    <row r="72" spans="1:11" x14ac:dyDescent="0.25">
      <c r="A72" s="18">
        <v>42009</v>
      </c>
      <c r="B72" s="19" t="s">
        <v>203</v>
      </c>
      <c r="C72" s="14">
        <v>8000</v>
      </c>
      <c r="D72" s="14">
        <f>+E72/C72</f>
        <v>0.03</v>
      </c>
      <c r="E72" s="14">
        <v>240</v>
      </c>
      <c r="F72" s="14"/>
      <c r="G72" s="14"/>
      <c r="H72" s="14"/>
      <c r="I72" s="14">
        <f>+I71+C72</f>
        <v>8000</v>
      </c>
      <c r="J72" s="14">
        <f t="shared" ref="J72:J77" si="10">+K72/I72</f>
        <v>0.03</v>
      </c>
      <c r="K72" s="21">
        <f>+K71+E72</f>
        <v>240</v>
      </c>
    </row>
    <row r="73" spans="1:11" x14ac:dyDescent="0.25">
      <c r="A73" s="106">
        <v>42284</v>
      </c>
      <c r="B73" s="107" t="s">
        <v>330</v>
      </c>
      <c r="C73" s="107"/>
      <c r="D73" s="107"/>
      <c r="E73" s="107"/>
      <c r="F73" s="107">
        <v>1</v>
      </c>
      <c r="G73" s="108">
        <f t="shared" ref="G73:G78" si="11">+J72</f>
        <v>0.03</v>
      </c>
      <c r="H73" s="108">
        <f t="shared" ref="H73:H78" si="12">+G73*F73</f>
        <v>0.03</v>
      </c>
      <c r="I73" s="107">
        <f t="shared" ref="I73:I78" si="13">+I72-F73</f>
        <v>7999</v>
      </c>
      <c r="J73" s="108">
        <f t="shared" si="10"/>
        <v>0.03</v>
      </c>
      <c r="K73" s="108">
        <f t="shared" ref="K73:K78" si="14">+K72-H73</f>
        <v>239.97</v>
      </c>
    </row>
    <row r="74" spans="1:11" x14ac:dyDescent="0.25">
      <c r="A74" s="106">
        <v>42289</v>
      </c>
      <c r="B74" s="107" t="s">
        <v>334</v>
      </c>
      <c r="C74" s="107"/>
      <c r="D74" s="107"/>
      <c r="E74" s="107"/>
      <c r="F74" s="107">
        <v>1</v>
      </c>
      <c r="G74" s="108">
        <f t="shared" si="11"/>
        <v>0.03</v>
      </c>
      <c r="H74" s="108">
        <f t="shared" si="12"/>
        <v>0.03</v>
      </c>
      <c r="I74" s="107">
        <f t="shared" si="13"/>
        <v>7998</v>
      </c>
      <c r="J74" s="108">
        <f t="shared" si="10"/>
        <v>0.03</v>
      </c>
      <c r="K74" s="108">
        <f t="shared" si="14"/>
        <v>239.94</v>
      </c>
    </row>
    <row r="75" spans="1:11" x14ac:dyDescent="0.25">
      <c r="A75" s="106">
        <v>42290</v>
      </c>
      <c r="B75" s="107" t="s">
        <v>343</v>
      </c>
      <c r="C75" s="107"/>
      <c r="D75" s="107"/>
      <c r="E75" s="107"/>
      <c r="F75" s="107">
        <v>1</v>
      </c>
      <c r="G75" s="108">
        <f t="shared" si="11"/>
        <v>0.03</v>
      </c>
      <c r="H75" s="108">
        <f t="shared" si="12"/>
        <v>0.03</v>
      </c>
      <c r="I75" s="107">
        <f t="shared" si="13"/>
        <v>7997</v>
      </c>
      <c r="J75" s="108">
        <f t="shared" si="10"/>
        <v>0.03</v>
      </c>
      <c r="K75" s="108">
        <f t="shared" si="14"/>
        <v>239.91</v>
      </c>
    </row>
    <row r="76" spans="1:11" x14ac:dyDescent="0.25">
      <c r="A76" s="122">
        <v>42293</v>
      </c>
      <c r="B76" s="107" t="s">
        <v>354</v>
      </c>
      <c r="C76" s="68"/>
      <c r="D76" s="69"/>
      <c r="E76" s="68"/>
      <c r="F76" s="68">
        <v>1</v>
      </c>
      <c r="G76" s="69">
        <f t="shared" si="11"/>
        <v>0.03</v>
      </c>
      <c r="H76" s="69">
        <f t="shared" si="12"/>
        <v>0.03</v>
      </c>
      <c r="I76" s="107">
        <f t="shared" si="13"/>
        <v>7996</v>
      </c>
      <c r="J76" s="108">
        <f t="shared" si="10"/>
        <v>0.03</v>
      </c>
      <c r="K76" s="108">
        <f t="shared" si="14"/>
        <v>239.88</v>
      </c>
    </row>
    <row r="77" spans="1:11" x14ac:dyDescent="0.25">
      <c r="A77" s="106">
        <v>42297</v>
      </c>
      <c r="B77" s="107" t="s">
        <v>363</v>
      </c>
      <c r="C77" s="107"/>
      <c r="D77" s="107"/>
      <c r="E77" s="107"/>
      <c r="F77" s="107">
        <v>1</v>
      </c>
      <c r="G77" s="108">
        <f t="shared" si="11"/>
        <v>0.03</v>
      </c>
      <c r="H77" s="108">
        <f t="shared" si="12"/>
        <v>0.03</v>
      </c>
      <c r="I77" s="107">
        <f t="shared" si="13"/>
        <v>7995</v>
      </c>
      <c r="J77" s="108">
        <f t="shared" si="10"/>
        <v>0.03</v>
      </c>
      <c r="K77" s="108">
        <f t="shared" si="14"/>
        <v>239.85</v>
      </c>
    </row>
    <row r="78" spans="1:11" x14ac:dyDescent="0.25">
      <c r="A78" s="106">
        <v>42300</v>
      </c>
      <c r="B78" s="107" t="s">
        <v>380</v>
      </c>
      <c r="C78" s="68"/>
      <c r="D78" s="69"/>
      <c r="E78" s="68"/>
      <c r="F78" s="107">
        <v>1</v>
      </c>
      <c r="G78" s="108">
        <f t="shared" si="11"/>
        <v>0.03</v>
      </c>
      <c r="H78" s="108">
        <f t="shared" si="12"/>
        <v>0.03</v>
      </c>
      <c r="I78" s="107">
        <f t="shared" si="13"/>
        <v>7994</v>
      </c>
      <c r="J78" s="108">
        <f t="shared" ref="J78" si="15">+K78/I78</f>
        <v>0.03</v>
      </c>
      <c r="K78" s="108">
        <f t="shared" si="14"/>
        <v>239.82</v>
      </c>
    </row>
    <row r="79" spans="1:11" x14ac:dyDescent="0.25">
      <c r="A79" s="106">
        <v>42304</v>
      </c>
      <c r="B79" s="107" t="s">
        <v>390</v>
      </c>
      <c r="C79" s="68"/>
      <c r="D79" s="69"/>
      <c r="E79" s="68"/>
      <c r="F79" s="107">
        <v>1</v>
      </c>
      <c r="G79" s="108">
        <f t="shared" ref="G79" si="16">+J78</f>
        <v>0.03</v>
      </c>
      <c r="H79" s="108">
        <f t="shared" ref="H79" si="17">+G79*F79</f>
        <v>0.03</v>
      </c>
      <c r="I79" s="107">
        <f t="shared" ref="I79" si="18">+I78-F79</f>
        <v>7993</v>
      </c>
      <c r="J79" s="108">
        <f t="shared" ref="J79" si="19">+K79/I79</f>
        <v>0.03</v>
      </c>
      <c r="K79" s="108">
        <f t="shared" ref="K79" si="20">+K78-H79</f>
        <v>239.79</v>
      </c>
    </row>
    <row r="80" spans="1:11" x14ac:dyDescent="0.25">
      <c r="A80" s="5"/>
      <c r="B80" s="14"/>
      <c r="C80" s="2"/>
      <c r="D80" s="3"/>
      <c r="E80" s="2"/>
      <c r="F80" s="2"/>
      <c r="G80" s="3"/>
      <c r="H80" s="3"/>
      <c r="I80" s="14"/>
      <c r="J80" s="21"/>
      <c r="K80" s="21"/>
    </row>
    <row r="81" spans="1:11" x14ac:dyDescent="0.25">
      <c r="A81" s="5"/>
      <c r="B81" s="14"/>
      <c r="C81" s="2"/>
      <c r="D81" s="3"/>
      <c r="E81" s="2"/>
      <c r="F81" s="2"/>
      <c r="G81" s="3"/>
      <c r="H81" s="3"/>
      <c r="I81" s="14"/>
      <c r="J81" s="21"/>
      <c r="K81" s="21"/>
    </row>
    <row r="82" spans="1:1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</row>
    <row r="85" spans="1:11" x14ac:dyDescent="0.25">
      <c r="A85" s="456" t="s">
        <v>10</v>
      </c>
      <c r="B85" s="456"/>
      <c r="C85" s="456"/>
      <c r="D85" s="456"/>
      <c r="E85" s="456"/>
      <c r="F85" s="456"/>
      <c r="G85" s="456"/>
      <c r="H85" s="456"/>
      <c r="I85" s="456"/>
      <c r="J85" s="456"/>
      <c r="K85" s="456"/>
    </row>
    <row r="86" spans="1:11" x14ac:dyDescent="0.25">
      <c r="A86" s="456" t="s">
        <v>11</v>
      </c>
      <c r="B86" s="456"/>
      <c r="C86" s="456"/>
      <c r="D86" s="456"/>
      <c r="E86" s="456"/>
      <c r="F86" s="456"/>
      <c r="G86" s="456"/>
      <c r="H86" s="456"/>
      <c r="I86" s="456"/>
      <c r="J86" s="456"/>
      <c r="K86" s="456"/>
    </row>
    <row r="87" spans="1:11" x14ac:dyDescent="0.25">
      <c r="A87" s="14" t="s">
        <v>8</v>
      </c>
      <c r="B87" s="458" t="s">
        <v>16</v>
      </c>
      <c r="C87" s="459"/>
      <c r="D87" s="459"/>
      <c r="E87" s="460"/>
      <c r="F87" s="15" t="s">
        <v>48</v>
      </c>
      <c r="G87" s="458" t="s">
        <v>49</v>
      </c>
      <c r="H87" s="459"/>
      <c r="I87" s="459"/>
      <c r="J87" s="459"/>
      <c r="K87" s="460"/>
    </row>
    <row r="88" spans="1:11" x14ac:dyDescent="0.25">
      <c r="A88" s="12" t="s">
        <v>9</v>
      </c>
      <c r="B88" s="457" t="s">
        <v>47</v>
      </c>
      <c r="C88" s="457"/>
      <c r="D88" s="457"/>
      <c r="E88" s="457"/>
      <c r="F88" s="16" t="s">
        <v>50</v>
      </c>
      <c r="G88" s="459" t="s">
        <v>51</v>
      </c>
      <c r="H88" s="459"/>
      <c r="I88" s="459"/>
      <c r="J88" s="459"/>
      <c r="K88" s="460"/>
    </row>
    <row r="89" spans="1:11" x14ac:dyDescent="0.25">
      <c r="A89" s="455" t="s">
        <v>0</v>
      </c>
      <c r="B89" s="455" t="s">
        <v>1</v>
      </c>
      <c r="C89" s="455" t="s">
        <v>2</v>
      </c>
      <c r="D89" s="455"/>
      <c r="E89" s="455"/>
      <c r="F89" s="455" t="s">
        <v>3</v>
      </c>
      <c r="G89" s="455"/>
      <c r="H89" s="455"/>
      <c r="I89" s="455" t="s">
        <v>4</v>
      </c>
      <c r="J89" s="455"/>
      <c r="K89" s="455"/>
    </row>
    <row r="90" spans="1:11" x14ac:dyDescent="0.25">
      <c r="A90" s="455"/>
      <c r="B90" s="455"/>
      <c r="C90" s="14" t="s">
        <v>5</v>
      </c>
      <c r="D90" s="14" t="s">
        <v>6</v>
      </c>
      <c r="E90" s="14" t="s">
        <v>7</v>
      </c>
      <c r="F90" s="14" t="s">
        <v>5</v>
      </c>
      <c r="G90" s="14" t="s">
        <v>6</v>
      </c>
      <c r="H90" s="14" t="s">
        <v>7</v>
      </c>
      <c r="I90" s="14" t="s">
        <v>5</v>
      </c>
      <c r="J90" s="14" t="s">
        <v>6</v>
      </c>
      <c r="K90" s="14" t="s">
        <v>7</v>
      </c>
    </row>
    <row r="91" spans="1:11" x14ac:dyDescent="0.25">
      <c r="A91" s="20"/>
      <c r="B91" s="17" t="s">
        <v>42</v>
      </c>
      <c r="C91" s="14"/>
      <c r="D91" s="14"/>
      <c r="E91" s="14"/>
      <c r="F91" s="14"/>
      <c r="G91" s="14"/>
      <c r="H91" s="14"/>
      <c r="I91" s="17">
        <v>0</v>
      </c>
      <c r="J91" s="17">
        <v>0</v>
      </c>
      <c r="K91" s="17">
        <v>0</v>
      </c>
    </row>
    <row r="92" spans="1:11" x14ac:dyDescent="0.25">
      <c r="A92" s="18">
        <v>42009</v>
      </c>
      <c r="B92" s="19" t="s">
        <v>203</v>
      </c>
      <c r="C92" s="14">
        <v>6500</v>
      </c>
      <c r="D92" s="21">
        <f>+E92/C92</f>
        <v>2.4E-2</v>
      </c>
      <c r="E92" s="14">
        <v>156</v>
      </c>
      <c r="F92" s="14"/>
      <c r="G92" s="14"/>
      <c r="H92" s="14"/>
      <c r="I92" s="14">
        <f>+I91+C92</f>
        <v>6500</v>
      </c>
      <c r="J92" s="21">
        <f t="shared" ref="J92:J98" si="21">+K92/I92</f>
        <v>2.4E-2</v>
      </c>
      <c r="K92" s="21">
        <f>+K91+E92</f>
        <v>156</v>
      </c>
    </row>
    <row r="93" spans="1:11" x14ac:dyDescent="0.25">
      <c r="A93" s="106">
        <v>42284</v>
      </c>
      <c r="B93" s="107" t="s">
        <v>330</v>
      </c>
      <c r="C93" s="107"/>
      <c r="D93" s="107"/>
      <c r="E93" s="107"/>
      <c r="F93" s="107">
        <v>1</v>
      </c>
      <c r="G93" s="108">
        <f t="shared" ref="G93:G98" si="22">+J92</f>
        <v>2.4E-2</v>
      </c>
      <c r="H93" s="108">
        <f t="shared" ref="H93:H98" si="23">+G93*F93</f>
        <v>2.4E-2</v>
      </c>
      <c r="I93" s="107">
        <f t="shared" ref="I93:I98" si="24">+I92-F93</f>
        <v>6499</v>
      </c>
      <c r="J93" s="108">
        <f t="shared" si="21"/>
        <v>2.4E-2</v>
      </c>
      <c r="K93" s="108">
        <f t="shared" ref="K93:K98" si="25">+K92-H93</f>
        <v>155.976</v>
      </c>
    </row>
    <row r="94" spans="1:11" x14ac:dyDescent="0.25">
      <c r="A94" s="106">
        <v>42289</v>
      </c>
      <c r="B94" s="107" t="s">
        <v>334</v>
      </c>
      <c r="C94" s="107"/>
      <c r="D94" s="107"/>
      <c r="E94" s="107"/>
      <c r="F94" s="107">
        <v>1</v>
      </c>
      <c r="G94" s="108">
        <f t="shared" si="22"/>
        <v>2.4E-2</v>
      </c>
      <c r="H94" s="108">
        <f t="shared" si="23"/>
        <v>2.4E-2</v>
      </c>
      <c r="I94" s="107">
        <f t="shared" si="24"/>
        <v>6498</v>
      </c>
      <c r="J94" s="108">
        <f t="shared" si="21"/>
        <v>2.4E-2</v>
      </c>
      <c r="K94" s="108">
        <f t="shared" si="25"/>
        <v>155.952</v>
      </c>
    </row>
    <row r="95" spans="1:11" x14ac:dyDescent="0.25">
      <c r="A95" s="106">
        <v>42290</v>
      </c>
      <c r="B95" s="107" t="s">
        <v>343</v>
      </c>
      <c r="C95" s="107"/>
      <c r="D95" s="107"/>
      <c r="E95" s="107"/>
      <c r="F95" s="107">
        <v>1</v>
      </c>
      <c r="G95" s="108">
        <f t="shared" si="22"/>
        <v>2.4E-2</v>
      </c>
      <c r="H95" s="108">
        <f t="shared" si="23"/>
        <v>2.4E-2</v>
      </c>
      <c r="I95" s="107">
        <f t="shared" si="24"/>
        <v>6497</v>
      </c>
      <c r="J95" s="108">
        <f t="shared" si="21"/>
        <v>2.4E-2</v>
      </c>
      <c r="K95" s="108">
        <f t="shared" si="25"/>
        <v>155.928</v>
      </c>
    </row>
    <row r="96" spans="1:11" x14ac:dyDescent="0.25">
      <c r="A96" s="122">
        <v>42293</v>
      </c>
      <c r="B96" s="107" t="s">
        <v>354</v>
      </c>
      <c r="C96" s="68"/>
      <c r="D96" s="69"/>
      <c r="E96" s="68"/>
      <c r="F96" s="68">
        <v>1</v>
      </c>
      <c r="G96" s="69">
        <f t="shared" si="22"/>
        <v>2.4E-2</v>
      </c>
      <c r="H96" s="69">
        <f t="shared" si="23"/>
        <v>2.4E-2</v>
      </c>
      <c r="I96" s="107">
        <f t="shared" si="24"/>
        <v>6496</v>
      </c>
      <c r="J96" s="108">
        <f t="shared" si="21"/>
        <v>2.4E-2</v>
      </c>
      <c r="K96" s="108">
        <f t="shared" si="25"/>
        <v>155.904</v>
      </c>
    </row>
    <row r="97" spans="1:11" x14ac:dyDescent="0.25">
      <c r="A97" s="106">
        <v>42297</v>
      </c>
      <c r="B97" s="107" t="s">
        <v>363</v>
      </c>
      <c r="C97" s="107"/>
      <c r="D97" s="107"/>
      <c r="E97" s="107"/>
      <c r="F97" s="107">
        <v>1</v>
      </c>
      <c r="G97" s="108">
        <f t="shared" si="22"/>
        <v>2.4E-2</v>
      </c>
      <c r="H97" s="108">
        <f t="shared" si="23"/>
        <v>2.4E-2</v>
      </c>
      <c r="I97" s="107">
        <f t="shared" si="24"/>
        <v>6495</v>
      </c>
      <c r="J97" s="108">
        <f t="shared" si="21"/>
        <v>2.4E-2</v>
      </c>
      <c r="K97" s="108">
        <f t="shared" si="25"/>
        <v>155.88</v>
      </c>
    </row>
    <row r="98" spans="1:11" x14ac:dyDescent="0.25">
      <c r="A98" s="106">
        <v>42300</v>
      </c>
      <c r="B98" s="107" t="s">
        <v>380</v>
      </c>
      <c r="C98" s="107"/>
      <c r="D98" s="107"/>
      <c r="E98" s="107"/>
      <c r="F98" s="107">
        <v>1</v>
      </c>
      <c r="G98" s="108">
        <f t="shared" si="22"/>
        <v>2.4E-2</v>
      </c>
      <c r="H98" s="108">
        <f t="shared" si="23"/>
        <v>2.4E-2</v>
      </c>
      <c r="I98" s="107">
        <f t="shared" si="24"/>
        <v>6494</v>
      </c>
      <c r="J98" s="108">
        <f t="shared" si="21"/>
        <v>2.4E-2</v>
      </c>
      <c r="K98" s="108">
        <f t="shared" si="25"/>
        <v>155.85599999999999</v>
      </c>
    </row>
    <row r="99" spans="1:11" x14ac:dyDescent="0.25">
      <c r="A99" s="106">
        <v>42304</v>
      </c>
      <c r="B99" s="107" t="s">
        <v>390</v>
      </c>
      <c r="C99" s="107"/>
      <c r="D99" s="107"/>
      <c r="E99" s="107"/>
      <c r="F99" s="107">
        <v>1</v>
      </c>
      <c r="G99" s="108">
        <f t="shared" ref="G99" si="26">+J98</f>
        <v>2.4E-2</v>
      </c>
      <c r="H99" s="108">
        <f t="shared" ref="H99" si="27">+G99*F99</f>
        <v>2.4E-2</v>
      </c>
      <c r="I99" s="107">
        <f t="shared" ref="I99" si="28">+I98-F99</f>
        <v>6493</v>
      </c>
      <c r="J99" s="108">
        <f t="shared" ref="J99" si="29">+K99/I99</f>
        <v>2.4E-2</v>
      </c>
      <c r="K99" s="108">
        <f t="shared" ref="K99" si="30">+K98-H99</f>
        <v>155.83199999999999</v>
      </c>
    </row>
    <row r="100" spans="1:11" x14ac:dyDescent="0.25">
      <c r="A100" s="20"/>
      <c r="B100" s="14"/>
      <c r="C100" s="14"/>
      <c r="D100" s="14"/>
      <c r="E100" s="14"/>
      <c r="F100" s="14"/>
      <c r="G100" s="21"/>
      <c r="H100" s="21"/>
      <c r="I100" s="14"/>
      <c r="J100" s="21"/>
      <c r="K100" s="21"/>
    </row>
    <row r="101" spans="1:11" x14ac:dyDescent="0.25">
      <c r="A101" s="132"/>
      <c r="B101" s="133"/>
      <c r="C101" s="133"/>
      <c r="D101" s="133"/>
      <c r="E101" s="133"/>
      <c r="F101" s="133"/>
      <c r="G101" s="134"/>
      <c r="H101" s="134"/>
      <c r="I101" s="133"/>
      <c r="J101" s="134"/>
      <c r="K101" s="134"/>
    </row>
    <row r="102" spans="1:11" x14ac:dyDescent="0.25">
      <c r="A102" s="132"/>
      <c r="B102" s="133"/>
      <c r="C102" s="133"/>
      <c r="D102" s="133"/>
      <c r="E102" s="133"/>
      <c r="F102" s="133"/>
      <c r="G102" s="134"/>
      <c r="H102" s="134"/>
      <c r="I102" s="133"/>
      <c r="J102" s="134"/>
      <c r="K102" s="134"/>
    </row>
    <row r="103" spans="1:11" x14ac:dyDescent="0.25">
      <c r="A103" s="132"/>
      <c r="B103" s="133"/>
      <c r="C103" s="133"/>
      <c r="D103" s="133"/>
      <c r="E103" s="133"/>
      <c r="F103" s="133"/>
      <c r="G103" s="134"/>
      <c r="H103" s="134"/>
      <c r="I103" s="133"/>
      <c r="J103" s="134"/>
      <c r="K103" s="134"/>
    </row>
    <row r="104" spans="1:11" x14ac:dyDescent="0.25">
      <c r="A104" s="132"/>
      <c r="B104" s="133"/>
      <c r="C104" s="133"/>
      <c r="D104" s="133"/>
      <c r="E104" s="133"/>
      <c r="F104" s="133"/>
      <c r="G104" s="134"/>
      <c r="H104" s="134"/>
      <c r="I104" s="133"/>
      <c r="J104" s="134"/>
      <c r="K104" s="134"/>
    </row>
    <row r="105" spans="1:11" x14ac:dyDescent="0.25">
      <c r="A105" s="132"/>
      <c r="B105" s="133"/>
      <c r="C105" s="133"/>
      <c r="D105" s="133"/>
      <c r="E105" s="133"/>
      <c r="F105" s="133"/>
      <c r="G105" s="134"/>
      <c r="H105" s="134"/>
      <c r="I105" s="133"/>
      <c r="J105" s="134"/>
      <c r="K105" s="134"/>
    </row>
    <row r="106" spans="1:11" x14ac:dyDescent="0.25">
      <c r="A106" s="132"/>
      <c r="B106" s="133"/>
      <c r="C106" s="133"/>
      <c r="D106" s="133"/>
      <c r="E106" s="133"/>
      <c r="F106" s="133"/>
      <c r="G106" s="134"/>
      <c r="H106" s="134"/>
      <c r="I106" s="133"/>
      <c r="J106" s="134"/>
      <c r="K106" s="134"/>
    </row>
    <row r="107" spans="1:11" x14ac:dyDescent="0.25">
      <c r="A107" s="132"/>
      <c r="B107" s="133"/>
      <c r="C107" s="133"/>
      <c r="D107" s="133"/>
      <c r="E107" s="133"/>
      <c r="F107" s="133"/>
      <c r="G107" s="134"/>
      <c r="H107" s="134"/>
      <c r="I107" s="133"/>
      <c r="J107" s="134"/>
      <c r="K107" s="134"/>
    </row>
    <row r="109" spans="1:11" x14ac:dyDescent="0.25">
      <c r="A109" s="456" t="s">
        <v>10</v>
      </c>
      <c r="B109" s="456"/>
      <c r="C109" s="456"/>
      <c r="D109" s="456"/>
      <c r="E109" s="456"/>
      <c r="F109" s="456"/>
      <c r="G109" s="456"/>
      <c r="H109" s="456"/>
      <c r="I109" s="456"/>
      <c r="J109" s="456"/>
      <c r="K109" s="456"/>
    </row>
    <row r="110" spans="1:11" x14ac:dyDescent="0.25">
      <c r="A110" s="456" t="s">
        <v>11</v>
      </c>
      <c r="B110" s="456"/>
      <c r="C110" s="456"/>
      <c r="D110" s="456"/>
      <c r="E110" s="456"/>
      <c r="F110" s="456"/>
      <c r="G110" s="456"/>
      <c r="H110" s="456"/>
      <c r="I110" s="456"/>
      <c r="J110" s="456"/>
      <c r="K110" s="456"/>
    </row>
    <row r="111" spans="1:11" x14ac:dyDescent="0.25">
      <c r="A111" s="14" t="s">
        <v>8</v>
      </c>
      <c r="B111" s="458" t="s">
        <v>18</v>
      </c>
      <c r="C111" s="459"/>
      <c r="D111" s="459"/>
      <c r="E111" s="460"/>
      <c r="F111" s="15" t="s">
        <v>48</v>
      </c>
      <c r="G111" s="458" t="s">
        <v>49</v>
      </c>
      <c r="H111" s="459"/>
      <c r="I111" s="459"/>
      <c r="J111" s="459"/>
      <c r="K111" s="460"/>
    </row>
    <row r="112" spans="1:11" x14ac:dyDescent="0.25">
      <c r="A112" s="12" t="s">
        <v>9</v>
      </c>
      <c r="B112" s="457" t="s">
        <v>44</v>
      </c>
      <c r="C112" s="457"/>
      <c r="D112" s="457"/>
      <c r="E112" s="457"/>
      <c r="F112" s="23" t="s">
        <v>12</v>
      </c>
      <c r="G112" s="457" t="s">
        <v>52</v>
      </c>
      <c r="H112" s="457"/>
      <c r="I112" s="457"/>
      <c r="J112" s="457"/>
      <c r="K112" s="457"/>
    </row>
    <row r="113" spans="1:11" x14ac:dyDescent="0.25">
      <c r="A113" s="455" t="s">
        <v>0</v>
      </c>
      <c r="B113" s="455" t="s">
        <v>1</v>
      </c>
      <c r="C113" s="455" t="s">
        <v>2</v>
      </c>
      <c r="D113" s="455"/>
      <c r="E113" s="455"/>
      <c r="F113" s="455" t="s">
        <v>3</v>
      </c>
      <c r="G113" s="455"/>
      <c r="H113" s="455"/>
      <c r="I113" s="455" t="s">
        <v>4</v>
      </c>
      <c r="J113" s="455"/>
      <c r="K113" s="455"/>
    </row>
    <row r="114" spans="1:11" x14ac:dyDescent="0.25">
      <c r="A114" s="455"/>
      <c r="B114" s="455"/>
      <c r="C114" s="14" t="s">
        <v>5</v>
      </c>
      <c r="D114" s="14" t="s">
        <v>6</v>
      </c>
      <c r="E114" s="14" t="s">
        <v>7</v>
      </c>
      <c r="F114" s="14" t="s">
        <v>5</v>
      </c>
      <c r="G114" s="14" t="s">
        <v>6</v>
      </c>
      <c r="H114" s="14" t="s">
        <v>7</v>
      </c>
      <c r="I114" s="14" t="s">
        <v>5</v>
      </c>
      <c r="J114" s="14" t="s">
        <v>6</v>
      </c>
      <c r="K114" s="14" t="s">
        <v>7</v>
      </c>
    </row>
    <row r="115" spans="1:11" x14ac:dyDescent="0.25">
      <c r="A115" s="20"/>
      <c r="B115" s="17" t="s">
        <v>42</v>
      </c>
      <c r="C115" s="14"/>
      <c r="D115" s="14"/>
      <c r="E115" s="14"/>
      <c r="F115" s="14"/>
      <c r="G115" s="14"/>
      <c r="H115" s="14"/>
      <c r="I115" s="17">
        <v>0</v>
      </c>
      <c r="J115" s="17">
        <v>0</v>
      </c>
      <c r="K115" s="17">
        <v>0</v>
      </c>
    </row>
    <row r="116" spans="1:11" ht="19.5" customHeight="1" x14ac:dyDescent="0.25">
      <c r="A116" s="18">
        <v>42009</v>
      </c>
      <c r="B116" s="19" t="s">
        <v>203</v>
      </c>
      <c r="C116" s="14">
        <v>1700</v>
      </c>
      <c r="D116" s="21">
        <f>+E116/C116</f>
        <v>4.7999999999999994E-2</v>
      </c>
      <c r="E116" s="14">
        <v>81.599999999999994</v>
      </c>
      <c r="F116" s="14"/>
      <c r="G116" s="14"/>
      <c r="H116" s="14"/>
      <c r="I116" s="14">
        <f>+I115+C116</f>
        <v>1700</v>
      </c>
      <c r="J116" s="21">
        <f>+K116/I116</f>
        <v>4.7999999999999994E-2</v>
      </c>
      <c r="K116" s="21">
        <f>+K115+E116</f>
        <v>81.599999999999994</v>
      </c>
    </row>
    <row r="117" spans="1:11" x14ac:dyDescent="0.25">
      <c r="A117" s="106">
        <v>42297</v>
      </c>
      <c r="B117" s="107" t="s">
        <v>363</v>
      </c>
      <c r="C117" s="107"/>
      <c r="D117" s="107"/>
      <c r="E117" s="107"/>
      <c r="F117" s="107">
        <v>1</v>
      </c>
      <c r="G117" s="108">
        <f>+J116</f>
        <v>4.7999999999999994E-2</v>
      </c>
      <c r="H117" s="108">
        <f>+G117*F117</f>
        <v>4.7999999999999994E-2</v>
      </c>
      <c r="I117" s="107">
        <f>+I116-F117</f>
        <v>1699</v>
      </c>
      <c r="J117" s="108">
        <f>+K117/I117</f>
        <v>4.7999999999999994E-2</v>
      </c>
      <c r="K117" s="108">
        <f>+K116-H117</f>
        <v>81.551999999999992</v>
      </c>
    </row>
    <row r="118" spans="1:11" x14ac:dyDescent="0.25">
      <c r="A118" s="106">
        <v>42304</v>
      </c>
      <c r="B118" s="107" t="s">
        <v>390</v>
      </c>
      <c r="C118" s="107"/>
      <c r="D118" s="107"/>
      <c r="E118" s="107"/>
      <c r="F118" s="107">
        <v>1</v>
      </c>
      <c r="G118" s="108">
        <f>+J117</f>
        <v>4.7999999999999994E-2</v>
      </c>
      <c r="H118" s="108">
        <f>+G118*F118</f>
        <v>4.7999999999999994E-2</v>
      </c>
      <c r="I118" s="107">
        <f>+I117-F118</f>
        <v>1698</v>
      </c>
      <c r="J118" s="108">
        <f>+K118/I118</f>
        <v>4.7999999999999994E-2</v>
      </c>
      <c r="K118" s="108">
        <f>+K117-H118</f>
        <v>81.503999999999991</v>
      </c>
    </row>
    <row r="119" spans="1:11" x14ac:dyDescent="0.25">
      <c r="A119" s="20"/>
      <c r="B119" s="14"/>
      <c r="C119" s="14"/>
      <c r="D119" s="14"/>
      <c r="E119" s="14"/>
      <c r="F119" s="14"/>
      <c r="G119" s="21"/>
      <c r="H119" s="21"/>
      <c r="I119" s="14"/>
      <c r="J119" s="21"/>
      <c r="K119" s="21"/>
    </row>
    <row r="122" spans="1:11" x14ac:dyDescent="0.25">
      <c r="A122" s="456" t="s">
        <v>10</v>
      </c>
      <c r="B122" s="456"/>
      <c r="C122" s="456"/>
      <c r="D122" s="456"/>
      <c r="E122" s="456"/>
      <c r="F122" s="456"/>
      <c r="G122" s="456"/>
      <c r="H122" s="456"/>
      <c r="I122" s="456"/>
      <c r="J122" s="456"/>
      <c r="K122" s="456"/>
    </row>
    <row r="123" spans="1:11" x14ac:dyDescent="0.25">
      <c r="A123" s="456" t="s">
        <v>11</v>
      </c>
      <c r="B123" s="456"/>
      <c r="C123" s="456"/>
      <c r="D123" s="456"/>
      <c r="E123" s="456"/>
      <c r="F123" s="456"/>
      <c r="G123" s="456"/>
      <c r="H123" s="456"/>
      <c r="I123" s="456"/>
      <c r="J123" s="456"/>
      <c r="K123" s="456"/>
    </row>
    <row r="124" spans="1:11" x14ac:dyDescent="0.25">
      <c r="A124" s="14" t="s">
        <v>8</v>
      </c>
      <c r="B124" s="458" t="s">
        <v>19</v>
      </c>
      <c r="C124" s="459"/>
      <c r="D124" s="459"/>
      <c r="E124" s="460"/>
      <c r="F124" s="15" t="s">
        <v>48</v>
      </c>
      <c r="G124" s="458" t="s">
        <v>49</v>
      </c>
      <c r="H124" s="459"/>
      <c r="I124" s="459"/>
      <c r="J124" s="459"/>
      <c r="K124" s="460"/>
    </row>
    <row r="125" spans="1:11" x14ac:dyDescent="0.25">
      <c r="A125" s="12" t="s">
        <v>9</v>
      </c>
      <c r="B125" s="457" t="s">
        <v>44</v>
      </c>
      <c r="C125" s="457"/>
      <c r="D125" s="457"/>
      <c r="E125" s="457"/>
      <c r="F125" s="16" t="s">
        <v>12</v>
      </c>
      <c r="G125" s="459" t="s">
        <v>52</v>
      </c>
      <c r="H125" s="459"/>
      <c r="I125" s="459"/>
      <c r="J125" s="459"/>
      <c r="K125" s="460"/>
    </row>
    <row r="126" spans="1:11" x14ac:dyDescent="0.25">
      <c r="A126" s="455" t="s">
        <v>0</v>
      </c>
      <c r="B126" s="455" t="s">
        <v>1</v>
      </c>
      <c r="C126" s="455" t="s">
        <v>2</v>
      </c>
      <c r="D126" s="455"/>
      <c r="E126" s="455"/>
      <c r="F126" s="455" t="s">
        <v>3</v>
      </c>
      <c r="G126" s="455"/>
      <c r="H126" s="455"/>
      <c r="I126" s="455" t="s">
        <v>4</v>
      </c>
      <c r="J126" s="455"/>
      <c r="K126" s="455"/>
    </row>
    <row r="127" spans="1:11" x14ac:dyDescent="0.25">
      <c r="A127" s="455"/>
      <c r="B127" s="455"/>
      <c r="C127" s="14" t="s">
        <v>5</v>
      </c>
      <c r="D127" s="14" t="s">
        <v>6</v>
      </c>
      <c r="E127" s="14" t="s">
        <v>7</v>
      </c>
      <c r="F127" s="14" t="s">
        <v>5</v>
      </c>
      <c r="G127" s="14" t="s">
        <v>6</v>
      </c>
      <c r="H127" s="14" t="s">
        <v>7</v>
      </c>
      <c r="I127" s="14" t="s">
        <v>5</v>
      </c>
      <c r="J127" s="14" t="s">
        <v>6</v>
      </c>
      <c r="K127" s="14" t="s">
        <v>7</v>
      </c>
    </row>
    <row r="128" spans="1:11" x14ac:dyDescent="0.25">
      <c r="A128" s="20"/>
      <c r="B128" s="17" t="s">
        <v>42</v>
      </c>
      <c r="C128" s="14"/>
      <c r="D128" s="14"/>
      <c r="E128" s="14"/>
      <c r="F128" s="14"/>
      <c r="G128" s="14"/>
      <c r="H128" s="14"/>
      <c r="I128" s="17">
        <v>0</v>
      </c>
      <c r="J128" s="17">
        <v>0</v>
      </c>
      <c r="K128" s="17">
        <v>0</v>
      </c>
    </row>
    <row r="129" spans="1:11" x14ac:dyDescent="0.25">
      <c r="A129" s="18">
        <v>42009</v>
      </c>
      <c r="B129" s="19" t="s">
        <v>203</v>
      </c>
      <c r="C129" s="14">
        <v>800</v>
      </c>
      <c r="D129" s="21">
        <f>+E129/C129</f>
        <v>4.2300000000000004E-2</v>
      </c>
      <c r="E129" s="14">
        <v>33.840000000000003</v>
      </c>
      <c r="F129" s="14"/>
      <c r="G129" s="14"/>
      <c r="H129" s="14"/>
      <c r="I129" s="14">
        <f>+I128+C129</f>
        <v>800</v>
      </c>
      <c r="J129" s="21">
        <f>+K129/I129</f>
        <v>4.2300000000000004E-2</v>
      </c>
      <c r="K129" s="21">
        <f>+K128+E129</f>
        <v>33.840000000000003</v>
      </c>
    </row>
    <row r="130" spans="1:11" x14ac:dyDescent="0.25">
      <c r="A130" s="20"/>
      <c r="B130" s="14"/>
      <c r="C130" s="14"/>
      <c r="D130" s="14"/>
      <c r="E130" s="14"/>
      <c r="F130" s="14"/>
      <c r="G130" s="21"/>
      <c r="H130" s="14"/>
      <c r="I130" s="14"/>
      <c r="J130" s="21"/>
      <c r="K130" s="21"/>
    </row>
    <row r="131" spans="1:11" x14ac:dyDescent="0.25">
      <c r="A131" s="20"/>
      <c r="B131" s="14"/>
      <c r="C131" s="14"/>
      <c r="D131" s="14"/>
      <c r="E131" s="14"/>
      <c r="F131" s="14"/>
      <c r="G131" s="21"/>
      <c r="H131" s="14"/>
      <c r="I131" s="14"/>
      <c r="J131" s="21"/>
      <c r="K131" s="21"/>
    </row>
    <row r="132" spans="1:11" x14ac:dyDescent="0.25">
      <c r="A132" s="20"/>
      <c r="B132" s="14"/>
      <c r="C132" s="14"/>
      <c r="D132" s="14"/>
      <c r="E132" s="14"/>
      <c r="F132" s="14"/>
      <c r="G132" s="21"/>
      <c r="H132" s="21"/>
      <c r="I132" s="14"/>
      <c r="J132" s="21"/>
      <c r="K132" s="21"/>
    </row>
    <row r="135" spans="1:11" x14ac:dyDescent="0.25">
      <c r="A135" s="456" t="s">
        <v>10</v>
      </c>
      <c r="B135" s="456"/>
      <c r="C135" s="456"/>
      <c r="D135" s="456"/>
      <c r="E135" s="456"/>
      <c r="F135" s="456"/>
      <c r="G135" s="456"/>
      <c r="H135" s="456"/>
      <c r="I135" s="456"/>
      <c r="J135" s="456"/>
      <c r="K135" s="456"/>
    </row>
    <row r="136" spans="1:11" x14ac:dyDescent="0.25">
      <c r="A136" s="456" t="s">
        <v>11</v>
      </c>
      <c r="B136" s="456"/>
      <c r="C136" s="456"/>
      <c r="D136" s="456"/>
      <c r="E136" s="456"/>
      <c r="F136" s="456"/>
      <c r="G136" s="456"/>
      <c r="H136" s="456"/>
      <c r="I136" s="456"/>
      <c r="J136" s="456"/>
      <c r="K136" s="456"/>
    </row>
    <row r="137" spans="1:11" x14ac:dyDescent="0.25">
      <c r="A137" s="14" t="s">
        <v>8</v>
      </c>
      <c r="B137" s="458" t="s">
        <v>20</v>
      </c>
      <c r="C137" s="459"/>
      <c r="D137" s="459"/>
      <c r="E137" s="460"/>
      <c r="F137" s="15" t="s">
        <v>48</v>
      </c>
      <c r="G137" s="458" t="s">
        <v>49</v>
      </c>
      <c r="H137" s="459"/>
      <c r="I137" s="459"/>
      <c r="J137" s="459"/>
      <c r="K137" s="460"/>
    </row>
    <row r="138" spans="1:11" x14ac:dyDescent="0.25">
      <c r="A138" s="12" t="s">
        <v>9</v>
      </c>
      <c r="B138" s="457" t="s">
        <v>41</v>
      </c>
      <c r="C138" s="457"/>
      <c r="D138" s="457"/>
      <c r="E138" s="457"/>
      <c r="F138" s="16" t="s">
        <v>12</v>
      </c>
      <c r="G138" s="457" t="s">
        <v>52</v>
      </c>
      <c r="H138" s="457"/>
      <c r="I138" s="457"/>
      <c r="J138" s="457"/>
      <c r="K138" s="457"/>
    </row>
    <row r="139" spans="1:11" x14ac:dyDescent="0.25">
      <c r="A139" s="455" t="s">
        <v>0</v>
      </c>
      <c r="B139" s="455" t="s">
        <v>1</v>
      </c>
      <c r="C139" s="455" t="s">
        <v>2</v>
      </c>
      <c r="D139" s="455"/>
      <c r="E139" s="455"/>
      <c r="F139" s="455" t="s">
        <v>3</v>
      </c>
      <c r="G139" s="455"/>
      <c r="H139" s="455"/>
      <c r="I139" s="455" t="s">
        <v>4</v>
      </c>
      <c r="J139" s="455"/>
      <c r="K139" s="455"/>
    </row>
    <row r="140" spans="1:11" x14ac:dyDescent="0.25">
      <c r="A140" s="455"/>
      <c r="B140" s="455"/>
      <c r="C140" s="14" t="s">
        <v>5</v>
      </c>
      <c r="D140" s="14" t="s">
        <v>6</v>
      </c>
      <c r="E140" s="14" t="s">
        <v>7</v>
      </c>
      <c r="F140" s="14" t="s">
        <v>5</v>
      </c>
      <c r="G140" s="14" t="s">
        <v>6</v>
      </c>
      <c r="H140" s="14" t="s">
        <v>7</v>
      </c>
      <c r="I140" s="14" t="s">
        <v>5</v>
      </c>
      <c r="J140" s="14" t="s">
        <v>6</v>
      </c>
      <c r="K140" s="14" t="s">
        <v>7</v>
      </c>
    </row>
    <row r="141" spans="1:11" x14ac:dyDescent="0.25">
      <c r="A141" s="20"/>
      <c r="B141" s="17" t="s">
        <v>42</v>
      </c>
      <c r="C141" s="14"/>
      <c r="D141" s="14"/>
      <c r="E141" s="14"/>
      <c r="F141" s="14"/>
      <c r="G141" s="14"/>
      <c r="H141" s="14"/>
      <c r="I141" s="17">
        <v>0</v>
      </c>
      <c r="J141" s="17">
        <v>0</v>
      </c>
      <c r="K141" s="17">
        <v>0</v>
      </c>
    </row>
    <row r="142" spans="1:11" x14ac:dyDescent="0.25">
      <c r="A142" s="18">
        <v>42009</v>
      </c>
      <c r="B142" s="19" t="s">
        <v>203</v>
      </c>
      <c r="C142" s="14">
        <v>9500</v>
      </c>
      <c r="D142" s="21">
        <f>+E142/C142</f>
        <v>1.2E-2</v>
      </c>
      <c r="E142" s="14">
        <v>114</v>
      </c>
      <c r="F142" s="14"/>
      <c r="G142" s="14"/>
      <c r="H142" s="14"/>
      <c r="I142" s="14">
        <f>+I141+C142</f>
        <v>9500</v>
      </c>
      <c r="J142" s="21">
        <f>+K142/I142</f>
        <v>1.2E-2</v>
      </c>
      <c r="K142" s="21">
        <f>+K141+E142</f>
        <v>114</v>
      </c>
    </row>
    <row r="143" spans="1:11" x14ac:dyDescent="0.25">
      <c r="A143" s="106">
        <v>42284</v>
      </c>
      <c r="B143" s="107" t="s">
        <v>330</v>
      </c>
      <c r="C143" s="107"/>
      <c r="D143" s="107"/>
      <c r="E143" s="107"/>
      <c r="F143" s="107">
        <v>3</v>
      </c>
      <c r="G143" s="108">
        <f>+J142</f>
        <v>1.2E-2</v>
      </c>
      <c r="H143" s="108">
        <f>+G143*F143</f>
        <v>3.6000000000000004E-2</v>
      </c>
      <c r="I143" s="107">
        <f>+I142-F143</f>
        <v>9497</v>
      </c>
      <c r="J143" s="108">
        <f>+K143/I143</f>
        <v>1.2E-2</v>
      </c>
      <c r="K143" s="108">
        <f>+K142-H143</f>
        <v>113.964</v>
      </c>
    </row>
    <row r="144" spans="1:11" x14ac:dyDescent="0.25">
      <c r="A144" s="106">
        <v>42290</v>
      </c>
      <c r="B144" s="107" t="s">
        <v>343</v>
      </c>
      <c r="C144" s="107"/>
      <c r="D144" s="107"/>
      <c r="E144" s="107"/>
      <c r="F144" s="107">
        <v>3</v>
      </c>
      <c r="G144" s="108">
        <f>+J143</f>
        <v>1.2E-2</v>
      </c>
      <c r="H144" s="108">
        <f>+G144*F144</f>
        <v>3.6000000000000004E-2</v>
      </c>
      <c r="I144" s="107">
        <f>+I143-F144</f>
        <v>9494</v>
      </c>
      <c r="J144" s="108">
        <f>+K144/I144</f>
        <v>1.2E-2</v>
      </c>
      <c r="K144" s="108">
        <f>+K143-H144</f>
        <v>113.928</v>
      </c>
    </row>
    <row r="145" spans="1:11" x14ac:dyDescent="0.25">
      <c r="A145" s="106"/>
      <c r="B145" s="107"/>
      <c r="C145" s="107"/>
      <c r="D145" s="107"/>
      <c r="E145" s="107"/>
      <c r="F145" s="107"/>
      <c r="G145" s="108"/>
      <c r="H145" s="108"/>
      <c r="I145" s="107"/>
      <c r="J145" s="108"/>
      <c r="K145" s="108"/>
    </row>
    <row r="146" spans="1:11" x14ac:dyDescent="0.25">
      <c r="A146" s="106"/>
      <c r="B146" s="107"/>
      <c r="C146" s="107"/>
      <c r="D146" s="107"/>
      <c r="E146" s="107"/>
      <c r="F146" s="107"/>
      <c r="G146" s="108"/>
      <c r="H146" s="108"/>
      <c r="I146" s="107"/>
      <c r="J146" s="108"/>
      <c r="K146" s="108"/>
    </row>
    <row r="147" spans="1:11" x14ac:dyDescent="0.25">
      <c r="A147" s="20"/>
      <c r="B147" s="14"/>
      <c r="C147" s="14"/>
      <c r="D147" s="14"/>
      <c r="E147" s="14"/>
      <c r="F147" s="14"/>
      <c r="G147" s="21"/>
      <c r="H147" s="21"/>
      <c r="I147" s="14"/>
      <c r="J147" s="21"/>
      <c r="K147" s="21"/>
    </row>
    <row r="150" spans="1:11" x14ac:dyDescent="0.25">
      <c r="A150" s="456" t="s">
        <v>10</v>
      </c>
      <c r="B150" s="456"/>
      <c r="C150" s="456"/>
      <c r="D150" s="456"/>
      <c r="E150" s="456"/>
      <c r="F150" s="456"/>
      <c r="G150" s="456"/>
      <c r="H150" s="456"/>
      <c r="I150" s="456"/>
      <c r="J150" s="456"/>
      <c r="K150" s="456"/>
    </row>
    <row r="151" spans="1:11" x14ac:dyDescent="0.25">
      <c r="A151" s="456" t="s">
        <v>11</v>
      </c>
      <c r="B151" s="456"/>
      <c r="C151" s="456"/>
      <c r="D151" s="456"/>
      <c r="E151" s="456"/>
      <c r="F151" s="456"/>
      <c r="G151" s="456"/>
      <c r="H151" s="456"/>
      <c r="I151" s="456"/>
      <c r="J151" s="456"/>
      <c r="K151" s="456"/>
    </row>
    <row r="152" spans="1:11" x14ac:dyDescent="0.25">
      <c r="A152" s="14" t="s">
        <v>8</v>
      </c>
      <c r="B152" s="458" t="s">
        <v>21</v>
      </c>
      <c r="C152" s="459"/>
      <c r="D152" s="459"/>
      <c r="E152" s="460"/>
      <c r="F152" s="15" t="s">
        <v>48</v>
      </c>
      <c r="G152" s="458" t="s">
        <v>49</v>
      </c>
      <c r="H152" s="459"/>
      <c r="I152" s="459"/>
      <c r="J152" s="459"/>
      <c r="K152" s="460"/>
    </row>
    <row r="153" spans="1:11" x14ac:dyDescent="0.25">
      <c r="A153" s="12" t="s">
        <v>9</v>
      </c>
      <c r="B153" s="457" t="s">
        <v>44</v>
      </c>
      <c r="C153" s="457"/>
      <c r="D153" s="457"/>
      <c r="E153" s="457"/>
      <c r="F153" s="16" t="s">
        <v>12</v>
      </c>
      <c r="G153" s="459" t="s">
        <v>52</v>
      </c>
      <c r="H153" s="459"/>
      <c r="I153" s="459"/>
      <c r="J153" s="459"/>
      <c r="K153" s="460"/>
    </row>
    <row r="154" spans="1:11" x14ac:dyDescent="0.25">
      <c r="A154" s="455" t="s">
        <v>0</v>
      </c>
      <c r="B154" s="455" t="s">
        <v>1</v>
      </c>
      <c r="C154" s="455" t="s">
        <v>2</v>
      </c>
      <c r="D154" s="455"/>
      <c r="E154" s="455"/>
      <c r="F154" s="455" t="s">
        <v>3</v>
      </c>
      <c r="G154" s="455"/>
      <c r="H154" s="455"/>
      <c r="I154" s="455" t="s">
        <v>4</v>
      </c>
      <c r="J154" s="455"/>
      <c r="K154" s="455"/>
    </row>
    <row r="155" spans="1:11" x14ac:dyDescent="0.25">
      <c r="A155" s="455"/>
      <c r="B155" s="455"/>
      <c r="C155" s="14" t="s">
        <v>5</v>
      </c>
      <c r="D155" s="14" t="s">
        <v>6</v>
      </c>
      <c r="E155" s="14" t="s">
        <v>7</v>
      </c>
      <c r="F155" s="14" t="s">
        <v>5</v>
      </c>
      <c r="G155" s="14" t="s">
        <v>6</v>
      </c>
      <c r="H155" s="14" t="s">
        <v>7</v>
      </c>
      <c r="I155" s="14" t="s">
        <v>5</v>
      </c>
      <c r="J155" s="14" t="s">
        <v>6</v>
      </c>
      <c r="K155" s="14" t="s">
        <v>7</v>
      </c>
    </row>
    <row r="156" spans="1:11" x14ac:dyDescent="0.25">
      <c r="A156" s="20"/>
      <c r="B156" s="17" t="s">
        <v>42</v>
      </c>
      <c r="C156" s="14"/>
      <c r="D156" s="14"/>
      <c r="E156" s="14"/>
      <c r="F156" s="14"/>
      <c r="G156" s="14"/>
      <c r="H156" s="14"/>
      <c r="I156" s="17">
        <v>0</v>
      </c>
      <c r="J156" s="17">
        <v>0</v>
      </c>
      <c r="K156" s="17">
        <v>0</v>
      </c>
    </row>
    <row r="157" spans="1:11" x14ac:dyDescent="0.25">
      <c r="A157" s="18">
        <v>42009</v>
      </c>
      <c r="B157" s="19" t="s">
        <v>203</v>
      </c>
      <c r="C157" s="14">
        <v>100</v>
      </c>
      <c r="D157" s="14">
        <f>+E157/C157</f>
        <v>0.82</v>
      </c>
      <c r="E157" s="14">
        <v>82</v>
      </c>
      <c r="F157" s="14"/>
      <c r="G157" s="14"/>
      <c r="H157" s="14"/>
      <c r="I157" s="14">
        <f>+I156+C157</f>
        <v>100</v>
      </c>
      <c r="J157" s="24">
        <f>+K157/I157</f>
        <v>0.82</v>
      </c>
      <c r="K157" s="21">
        <f>+K156+E157</f>
        <v>82</v>
      </c>
    </row>
    <row r="158" spans="1:11" x14ac:dyDescent="0.25">
      <c r="A158" s="20"/>
      <c r="B158" s="14"/>
      <c r="C158" s="14"/>
      <c r="D158" s="14"/>
      <c r="E158" s="14"/>
      <c r="F158" s="14"/>
      <c r="G158" s="21"/>
      <c r="H158" s="14"/>
      <c r="I158" s="14"/>
      <c r="J158" s="21"/>
      <c r="K158" s="21"/>
    </row>
    <row r="159" spans="1:11" x14ac:dyDescent="0.25">
      <c r="A159" s="20"/>
      <c r="B159" s="14"/>
      <c r="C159" s="14"/>
      <c r="D159" s="14"/>
      <c r="E159" s="14"/>
      <c r="F159" s="14"/>
      <c r="G159" s="21"/>
      <c r="H159" s="14"/>
      <c r="I159" s="14"/>
      <c r="J159" s="21"/>
      <c r="K159" s="21"/>
    </row>
    <row r="160" spans="1:11" x14ac:dyDescent="0.25">
      <c r="A160" s="20"/>
      <c r="B160" s="14"/>
      <c r="C160" s="14"/>
      <c r="D160" s="14"/>
      <c r="E160" s="14"/>
      <c r="F160" s="14"/>
      <c r="G160" s="21"/>
      <c r="H160" s="21"/>
      <c r="I160" s="14"/>
      <c r="J160" s="21"/>
      <c r="K160" s="21"/>
    </row>
    <row r="164" spans="1:11" x14ac:dyDescent="0.25">
      <c r="A164" s="456" t="s">
        <v>10</v>
      </c>
      <c r="B164" s="456"/>
      <c r="C164" s="456"/>
      <c r="D164" s="456"/>
      <c r="E164" s="456"/>
      <c r="F164" s="456"/>
      <c r="G164" s="456"/>
      <c r="H164" s="456"/>
      <c r="I164" s="456"/>
      <c r="J164" s="456"/>
      <c r="K164" s="456"/>
    </row>
    <row r="165" spans="1:11" x14ac:dyDescent="0.25">
      <c r="A165" s="456" t="s">
        <v>11</v>
      </c>
      <c r="B165" s="456"/>
      <c r="C165" s="456"/>
      <c r="D165" s="456"/>
      <c r="E165" s="456"/>
      <c r="F165" s="456"/>
      <c r="G165" s="456"/>
      <c r="H165" s="456"/>
      <c r="I165" s="456"/>
      <c r="J165" s="456"/>
      <c r="K165" s="456"/>
    </row>
    <row r="166" spans="1:11" x14ac:dyDescent="0.25">
      <c r="A166" s="14" t="s">
        <v>8</v>
      </c>
      <c r="B166" s="458" t="s">
        <v>22</v>
      </c>
      <c r="C166" s="459"/>
      <c r="D166" s="459"/>
      <c r="E166" s="460"/>
      <c r="F166" s="15" t="s">
        <v>48</v>
      </c>
      <c r="G166" s="458" t="s">
        <v>49</v>
      </c>
      <c r="H166" s="459"/>
      <c r="I166" s="459"/>
      <c r="J166" s="459"/>
      <c r="K166" s="460"/>
    </row>
    <row r="167" spans="1:11" x14ac:dyDescent="0.25">
      <c r="A167" s="12" t="s">
        <v>9</v>
      </c>
      <c r="B167" s="457" t="s">
        <v>44</v>
      </c>
      <c r="C167" s="457"/>
      <c r="D167" s="457"/>
      <c r="E167" s="457"/>
      <c r="F167" s="23" t="s">
        <v>12</v>
      </c>
      <c r="G167" s="457" t="s">
        <v>52</v>
      </c>
      <c r="H167" s="457"/>
      <c r="I167" s="457"/>
      <c r="J167" s="457"/>
      <c r="K167" s="457"/>
    </row>
    <row r="168" spans="1:11" x14ac:dyDescent="0.25">
      <c r="A168" s="455" t="s">
        <v>0</v>
      </c>
      <c r="B168" s="455" t="s">
        <v>1</v>
      </c>
      <c r="C168" s="455" t="s">
        <v>2</v>
      </c>
      <c r="D168" s="455"/>
      <c r="E168" s="455"/>
      <c r="F168" s="455" t="s">
        <v>3</v>
      </c>
      <c r="G168" s="455"/>
      <c r="H168" s="455"/>
      <c r="I168" s="455" t="s">
        <v>4</v>
      </c>
      <c r="J168" s="455"/>
      <c r="K168" s="455"/>
    </row>
    <row r="169" spans="1:11" x14ac:dyDescent="0.25">
      <c r="A169" s="455"/>
      <c r="B169" s="455"/>
      <c r="C169" s="14" t="s">
        <v>5</v>
      </c>
      <c r="D169" s="14" t="s">
        <v>6</v>
      </c>
      <c r="E169" s="14" t="s">
        <v>7</v>
      </c>
      <c r="F169" s="14" t="s">
        <v>5</v>
      </c>
      <c r="G169" s="14" t="s">
        <v>6</v>
      </c>
      <c r="H169" s="14" t="s">
        <v>7</v>
      </c>
      <c r="I169" s="14" t="s">
        <v>5</v>
      </c>
      <c r="J169" s="14" t="s">
        <v>6</v>
      </c>
      <c r="K169" s="14" t="s">
        <v>7</v>
      </c>
    </row>
    <row r="170" spans="1:11" x14ac:dyDescent="0.25">
      <c r="A170" s="20"/>
      <c r="B170" s="17" t="s">
        <v>42</v>
      </c>
      <c r="C170" s="14"/>
      <c r="D170" s="14"/>
      <c r="E170" s="14"/>
      <c r="F170" s="14"/>
      <c r="G170" s="14"/>
      <c r="H170" s="14"/>
      <c r="I170" s="17">
        <v>0</v>
      </c>
      <c r="J170" s="17">
        <v>0</v>
      </c>
      <c r="K170" s="17">
        <v>0</v>
      </c>
    </row>
    <row r="171" spans="1:11" x14ac:dyDescent="0.25">
      <c r="A171" s="18">
        <v>42009</v>
      </c>
      <c r="B171" s="19" t="s">
        <v>203</v>
      </c>
      <c r="C171" s="14">
        <v>100</v>
      </c>
      <c r="D171" s="21">
        <f>+E171/C171</f>
        <v>4.4999999999999998E-2</v>
      </c>
      <c r="E171" s="14">
        <v>4.5</v>
      </c>
      <c r="F171" s="14"/>
      <c r="G171" s="14"/>
      <c r="H171" s="14"/>
      <c r="I171" s="14">
        <f>+I170+C171</f>
        <v>100</v>
      </c>
      <c r="J171" s="21">
        <f>+K171/I171</f>
        <v>4.4999999999999998E-2</v>
      </c>
      <c r="K171" s="21">
        <f>+K170+E171</f>
        <v>4.5</v>
      </c>
    </row>
    <row r="172" spans="1:11" x14ac:dyDescent="0.25">
      <c r="A172" s="20"/>
      <c r="B172" s="14"/>
      <c r="C172" s="14"/>
      <c r="D172" s="14"/>
      <c r="E172" s="14"/>
      <c r="F172" s="14"/>
      <c r="G172" s="21"/>
      <c r="H172" s="14"/>
      <c r="I172" s="14"/>
      <c r="J172" s="21"/>
      <c r="K172" s="21"/>
    </row>
    <row r="173" spans="1:11" x14ac:dyDescent="0.25">
      <c r="A173" s="20"/>
      <c r="B173" s="14"/>
      <c r="C173" s="14"/>
      <c r="D173" s="14"/>
      <c r="E173" s="14"/>
      <c r="F173" s="14"/>
      <c r="G173" s="21"/>
      <c r="H173" s="14"/>
      <c r="I173" s="14"/>
      <c r="J173" s="21"/>
      <c r="K173" s="21"/>
    </row>
    <row r="174" spans="1:11" x14ac:dyDescent="0.25">
      <c r="A174" s="20"/>
      <c r="B174" s="14"/>
      <c r="C174" s="14"/>
      <c r="D174" s="14"/>
      <c r="E174" s="14"/>
      <c r="F174" s="14"/>
      <c r="G174" s="21"/>
      <c r="H174" s="21"/>
      <c r="I174" s="14"/>
      <c r="J174" s="21"/>
      <c r="K174" s="21"/>
    </row>
    <row r="182" spans="1:11" x14ac:dyDescent="0.25">
      <c r="A182" s="456" t="s">
        <v>10</v>
      </c>
      <c r="B182" s="456"/>
      <c r="C182" s="456"/>
      <c r="D182" s="456"/>
      <c r="E182" s="456"/>
      <c r="F182" s="456"/>
      <c r="G182" s="456"/>
      <c r="H182" s="456"/>
      <c r="I182" s="456"/>
      <c r="J182" s="456"/>
      <c r="K182" s="456"/>
    </row>
    <row r="183" spans="1:11" x14ac:dyDescent="0.25">
      <c r="A183" s="456" t="s">
        <v>11</v>
      </c>
      <c r="B183" s="456"/>
      <c r="C183" s="456"/>
      <c r="D183" s="456"/>
      <c r="E183" s="456"/>
      <c r="F183" s="456"/>
      <c r="G183" s="456"/>
      <c r="H183" s="456"/>
      <c r="I183" s="456"/>
      <c r="J183" s="456"/>
      <c r="K183" s="456"/>
    </row>
    <row r="184" spans="1:11" x14ac:dyDescent="0.25">
      <c r="A184" s="14" t="s">
        <v>8</v>
      </c>
      <c r="B184" s="458" t="s">
        <v>23</v>
      </c>
      <c r="C184" s="459"/>
      <c r="D184" s="459"/>
      <c r="E184" s="460"/>
      <c r="F184" s="15" t="s">
        <v>48</v>
      </c>
      <c r="G184" s="458" t="s">
        <v>49</v>
      </c>
      <c r="H184" s="459"/>
      <c r="I184" s="459"/>
      <c r="J184" s="459"/>
      <c r="K184" s="460"/>
    </row>
    <row r="185" spans="1:11" x14ac:dyDescent="0.25">
      <c r="A185" s="12" t="s">
        <v>9</v>
      </c>
      <c r="B185" s="457" t="s">
        <v>46</v>
      </c>
      <c r="C185" s="457"/>
      <c r="D185" s="457"/>
      <c r="E185" s="457"/>
      <c r="F185" s="23" t="s">
        <v>12</v>
      </c>
      <c r="G185" s="457" t="s">
        <v>56</v>
      </c>
      <c r="H185" s="457"/>
      <c r="I185" s="457"/>
      <c r="J185" s="457"/>
      <c r="K185" s="457"/>
    </row>
    <row r="186" spans="1:11" x14ac:dyDescent="0.25">
      <c r="A186" s="455" t="s">
        <v>0</v>
      </c>
      <c r="B186" s="455" t="s">
        <v>1</v>
      </c>
      <c r="C186" s="455" t="s">
        <v>2</v>
      </c>
      <c r="D186" s="455"/>
      <c r="E186" s="455"/>
      <c r="F186" s="455" t="s">
        <v>3</v>
      </c>
      <c r="G186" s="455"/>
      <c r="H186" s="455"/>
      <c r="I186" s="455" t="s">
        <v>4</v>
      </c>
      <c r="J186" s="455"/>
      <c r="K186" s="455"/>
    </row>
    <row r="187" spans="1:11" x14ac:dyDescent="0.25">
      <c r="A187" s="455"/>
      <c r="B187" s="455"/>
      <c r="C187" s="14" t="s">
        <v>5</v>
      </c>
      <c r="D187" s="14" t="s">
        <v>6</v>
      </c>
      <c r="E187" s="14" t="s">
        <v>7</v>
      </c>
      <c r="F187" s="14" t="s">
        <v>5</v>
      </c>
      <c r="G187" s="14" t="s">
        <v>6</v>
      </c>
      <c r="H187" s="14" t="s">
        <v>7</v>
      </c>
      <c r="I187" s="14" t="s">
        <v>5</v>
      </c>
      <c r="J187" s="14" t="s">
        <v>6</v>
      </c>
      <c r="K187" s="14" t="s">
        <v>7</v>
      </c>
    </row>
    <row r="188" spans="1:11" x14ac:dyDescent="0.25">
      <c r="A188" s="20"/>
      <c r="B188" s="17" t="s">
        <v>42</v>
      </c>
      <c r="C188" s="14"/>
      <c r="D188" s="14"/>
      <c r="E188" s="14"/>
      <c r="F188" s="14"/>
      <c r="G188" s="14"/>
      <c r="H188" s="14"/>
      <c r="I188" s="17">
        <v>0</v>
      </c>
      <c r="J188" s="17">
        <v>0</v>
      </c>
      <c r="K188" s="17">
        <v>0</v>
      </c>
    </row>
    <row r="189" spans="1:11" x14ac:dyDescent="0.25">
      <c r="A189" s="20">
        <v>42009</v>
      </c>
      <c r="B189" s="14" t="s">
        <v>203</v>
      </c>
      <c r="C189" s="14">
        <v>3500</v>
      </c>
      <c r="D189" s="14">
        <f>+E189/C189</f>
        <v>0.02</v>
      </c>
      <c r="E189" s="14">
        <v>70</v>
      </c>
      <c r="F189" s="14"/>
      <c r="G189" s="14"/>
      <c r="H189" s="14"/>
      <c r="I189" s="14">
        <f>+I188+C189</f>
        <v>3500</v>
      </c>
      <c r="J189" s="22">
        <f t="shared" ref="J189:J194" si="31">+K189/I189</f>
        <v>0.02</v>
      </c>
      <c r="K189" s="21">
        <f>+K188+E189</f>
        <v>70</v>
      </c>
    </row>
    <row r="190" spans="1:11" x14ac:dyDescent="0.25">
      <c r="A190" s="106">
        <v>42278</v>
      </c>
      <c r="B190" s="66" t="s">
        <v>320</v>
      </c>
      <c r="C190" s="107"/>
      <c r="D190" s="107"/>
      <c r="E190" s="107"/>
      <c r="F190" s="107">
        <v>1</v>
      </c>
      <c r="G190" s="108">
        <f t="shared" ref="G190:G197" si="32">+J189</f>
        <v>0.02</v>
      </c>
      <c r="H190" s="107">
        <f>+F190*G190</f>
        <v>0.02</v>
      </c>
      <c r="I190" s="107">
        <f t="shared" ref="I190:I194" si="33">+I189-F190</f>
        <v>3499</v>
      </c>
      <c r="J190" s="108">
        <f t="shared" si="31"/>
        <v>0.02</v>
      </c>
      <c r="K190" s="108">
        <f t="shared" ref="K190:K194" si="34">+K189-H190</f>
        <v>69.98</v>
      </c>
    </row>
    <row r="191" spans="1:11" x14ac:dyDescent="0.25">
      <c r="A191" s="106">
        <v>42283</v>
      </c>
      <c r="B191" s="66" t="s">
        <v>326</v>
      </c>
      <c r="C191" s="107"/>
      <c r="D191" s="107"/>
      <c r="E191" s="107"/>
      <c r="F191" s="107">
        <v>1</v>
      </c>
      <c r="G191" s="108">
        <f t="shared" si="32"/>
        <v>0.02</v>
      </c>
      <c r="H191" s="107">
        <f t="shared" ref="H191:H197" si="35">+G191*F191</f>
        <v>0.02</v>
      </c>
      <c r="I191" s="107">
        <f t="shared" si="33"/>
        <v>3498</v>
      </c>
      <c r="J191" s="108">
        <f t="shared" si="31"/>
        <v>2.0000000000000004E-2</v>
      </c>
      <c r="K191" s="108">
        <f t="shared" si="34"/>
        <v>69.960000000000008</v>
      </c>
    </row>
    <row r="192" spans="1:11" x14ac:dyDescent="0.25">
      <c r="A192" s="106">
        <v>42283</v>
      </c>
      <c r="B192" s="66" t="s">
        <v>326</v>
      </c>
      <c r="C192" s="107"/>
      <c r="D192" s="107"/>
      <c r="E192" s="107"/>
      <c r="F192" s="107">
        <v>1</v>
      </c>
      <c r="G192" s="108">
        <f t="shared" si="32"/>
        <v>2.0000000000000004E-2</v>
      </c>
      <c r="H192" s="107">
        <f t="shared" si="35"/>
        <v>2.0000000000000004E-2</v>
      </c>
      <c r="I192" s="107">
        <f t="shared" si="33"/>
        <v>3497</v>
      </c>
      <c r="J192" s="108">
        <f t="shared" si="31"/>
        <v>2.0000000000000004E-2</v>
      </c>
      <c r="K192" s="108">
        <f t="shared" si="34"/>
        <v>69.940000000000012</v>
      </c>
    </row>
    <row r="193" spans="1:11" s="12" customFormat="1" x14ac:dyDescent="0.25">
      <c r="A193" s="106">
        <v>42296</v>
      </c>
      <c r="B193" s="63" t="s">
        <v>359</v>
      </c>
      <c r="C193" s="107"/>
      <c r="D193" s="107"/>
      <c r="E193" s="107"/>
      <c r="F193" s="107">
        <v>1</v>
      </c>
      <c r="G193" s="108">
        <f t="shared" si="32"/>
        <v>2.0000000000000004E-2</v>
      </c>
      <c r="H193" s="107">
        <f t="shared" si="35"/>
        <v>2.0000000000000004E-2</v>
      </c>
      <c r="I193" s="107">
        <f t="shared" si="33"/>
        <v>3496</v>
      </c>
      <c r="J193" s="108">
        <f t="shared" si="31"/>
        <v>2.0000000000000004E-2</v>
      </c>
      <c r="K193" s="108">
        <f t="shared" si="34"/>
        <v>69.920000000000016</v>
      </c>
    </row>
    <row r="194" spans="1:11" s="12" customFormat="1" x14ac:dyDescent="0.25">
      <c r="A194" s="106">
        <v>42298</v>
      </c>
      <c r="B194" s="63" t="s">
        <v>370</v>
      </c>
      <c r="C194" s="107"/>
      <c r="D194" s="107"/>
      <c r="E194" s="107"/>
      <c r="F194" s="107">
        <v>1</v>
      </c>
      <c r="G194" s="108">
        <f t="shared" si="32"/>
        <v>2.0000000000000004E-2</v>
      </c>
      <c r="H194" s="107">
        <f t="shared" si="35"/>
        <v>2.0000000000000004E-2</v>
      </c>
      <c r="I194" s="107">
        <f t="shared" si="33"/>
        <v>3495</v>
      </c>
      <c r="J194" s="108">
        <f t="shared" si="31"/>
        <v>2.0000000000000007E-2</v>
      </c>
      <c r="K194" s="108">
        <f t="shared" si="34"/>
        <v>69.90000000000002</v>
      </c>
    </row>
    <row r="195" spans="1:11" s="12" customFormat="1" x14ac:dyDescent="0.25">
      <c r="A195" s="106">
        <v>42299</v>
      </c>
      <c r="B195" s="63" t="s">
        <v>375</v>
      </c>
      <c r="C195" s="107"/>
      <c r="D195" s="107"/>
      <c r="E195" s="107"/>
      <c r="F195" s="107">
        <v>1</v>
      </c>
      <c r="G195" s="108">
        <f t="shared" si="32"/>
        <v>2.0000000000000007E-2</v>
      </c>
      <c r="H195" s="107">
        <f t="shared" si="35"/>
        <v>2.0000000000000007E-2</v>
      </c>
      <c r="I195" s="107">
        <f>+I194-F195</f>
        <v>3494</v>
      </c>
      <c r="J195" s="108">
        <f t="shared" ref="J195" si="36">+K195/I195</f>
        <v>2.0000000000000007E-2</v>
      </c>
      <c r="K195" s="108">
        <f t="shared" ref="K195" si="37">+K194-H195</f>
        <v>69.880000000000024</v>
      </c>
    </row>
    <row r="196" spans="1:11" x14ac:dyDescent="0.25">
      <c r="A196" s="106">
        <v>42303</v>
      </c>
      <c r="B196" s="66" t="s">
        <v>387</v>
      </c>
      <c r="C196" s="107"/>
      <c r="D196" s="107"/>
      <c r="E196" s="107"/>
      <c r="F196" s="107">
        <v>1</v>
      </c>
      <c r="G196" s="108">
        <f t="shared" si="32"/>
        <v>2.0000000000000007E-2</v>
      </c>
      <c r="H196" s="107">
        <f t="shared" si="35"/>
        <v>2.0000000000000007E-2</v>
      </c>
      <c r="I196" s="107">
        <f>+I195-F196</f>
        <v>3493</v>
      </c>
      <c r="J196" s="108">
        <f t="shared" ref="J196" si="38">+K196/I196</f>
        <v>2.0000000000000007E-2</v>
      </c>
      <c r="K196" s="108">
        <f t="shared" ref="K196" si="39">+K195-H196</f>
        <v>69.860000000000028</v>
      </c>
    </row>
    <row r="197" spans="1:11" x14ac:dyDescent="0.25">
      <c r="A197" s="106">
        <v>42305</v>
      </c>
      <c r="B197" s="63" t="s">
        <v>395</v>
      </c>
      <c r="C197" s="107"/>
      <c r="D197" s="107"/>
      <c r="E197" s="107"/>
      <c r="F197" s="107">
        <v>1</v>
      </c>
      <c r="G197" s="108">
        <f t="shared" si="32"/>
        <v>2.0000000000000007E-2</v>
      </c>
      <c r="H197" s="107">
        <f t="shared" si="35"/>
        <v>2.0000000000000007E-2</v>
      </c>
      <c r="I197" s="107">
        <f>+I196-F197</f>
        <v>3492</v>
      </c>
      <c r="J197" s="108">
        <f t="shared" ref="J197" si="40">+K197/I197</f>
        <v>2.0000000000000011E-2</v>
      </c>
      <c r="K197" s="108">
        <f t="shared" ref="K197" si="41">+K196-H197</f>
        <v>69.840000000000032</v>
      </c>
    </row>
    <row r="198" spans="1:11" x14ac:dyDescent="0.25">
      <c r="A198" s="20"/>
      <c r="B198" s="123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x14ac:dyDescent="0.25">
      <c r="A199" s="20"/>
      <c r="B199" s="123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x14ac:dyDescent="0.25">
      <c r="A200" s="132"/>
      <c r="B200" s="141"/>
    </row>
    <row r="203" spans="1:11" x14ac:dyDescent="0.25">
      <c r="A203" s="456" t="s">
        <v>10</v>
      </c>
      <c r="B203" s="456"/>
      <c r="C203" s="456"/>
      <c r="D203" s="456"/>
      <c r="E203" s="456"/>
      <c r="F203" s="456"/>
      <c r="G203" s="456"/>
      <c r="H203" s="456"/>
      <c r="I203" s="456"/>
      <c r="J203" s="456"/>
      <c r="K203" s="456"/>
    </row>
    <row r="204" spans="1:11" x14ac:dyDescent="0.25">
      <c r="A204" s="456" t="s">
        <v>11</v>
      </c>
      <c r="B204" s="456"/>
      <c r="C204" s="456"/>
      <c r="D204" s="456"/>
      <c r="E204" s="456"/>
      <c r="F204" s="456"/>
      <c r="G204" s="456"/>
      <c r="H204" s="456"/>
      <c r="I204" s="456"/>
      <c r="J204" s="456"/>
      <c r="K204" s="456"/>
    </row>
    <row r="205" spans="1:11" x14ac:dyDescent="0.25">
      <c r="A205" s="14" t="s">
        <v>8</v>
      </c>
      <c r="B205" s="458" t="s">
        <v>24</v>
      </c>
      <c r="C205" s="459"/>
      <c r="D205" s="459"/>
      <c r="E205" s="460"/>
      <c r="F205" s="15" t="s">
        <v>48</v>
      </c>
      <c r="G205" s="458" t="s">
        <v>49</v>
      </c>
      <c r="H205" s="459"/>
      <c r="I205" s="459"/>
      <c r="J205" s="459"/>
      <c r="K205" s="460"/>
    </row>
    <row r="206" spans="1:11" x14ac:dyDescent="0.25">
      <c r="A206" s="12" t="s">
        <v>9</v>
      </c>
      <c r="B206" s="457" t="s">
        <v>55</v>
      </c>
      <c r="C206" s="457"/>
      <c r="D206" s="457"/>
      <c r="E206" s="457"/>
      <c r="F206" s="23" t="s">
        <v>12</v>
      </c>
      <c r="G206" s="457" t="s">
        <v>52</v>
      </c>
      <c r="H206" s="457"/>
      <c r="I206" s="457"/>
      <c r="J206" s="457"/>
      <c r="K206" s="457"/>
    </row>
    <row r="207" spans="1:11" x14ac:dyDescent="0.25">
      <c r="A207" s="455" t="s">
        <v>0</v>
      </c>
      <c r="B207" s="455" t="s">
        <v>1</v>
      </c>
      <c r="C207" s="455" t="s">
        <v>2</v>
      </c>
      <c r="D207" s="455"/>
      <c r="E207" s="455"/>
      <c r="F207" s="455" t="s">
        <v>3</v>
      </c>
      <c r="G207" s="455"/>
      <c r="H207" s="455"/>
      <c r="I207" s="455" t="s">
        <v>4</v>
      </c>
      <c r="J207" s="455"/>
      <c r="K207" s="455"/>
    </row>
    <row r="208" spans="1:11" x14ac:dyDescent="0.25">
      <c r="A208" s="455"/>
      <c r="B208" s="455"/>
      <c r="C208" s="14" t="s">
        <v>5</v>
      </c>
      <c r="D208" s="14" t="s">
        <v>6</v>
      </c>
      <c r="E208" s="14" t="s">
        <v>7</v>
      </c>
      <c r="F208" s="14" t="s">
        <v>5</v>
      </c>
      <c r="G208" s="14" t="s">
        <v>6</v>
      </c>
      <c r="H208" s="14" t="s">
        <v>7</v>
      </c>
      <c r="I208" s="14" t="s">
        <v>5</v>
      </c>
      <c r="J208" s="14" t="s">
        <v>6</v>
      </c>
      <c r="K208" s="14" t="s">
        <v>7</v>
      </c>
    </row>
    <row r="209" spans="1:11" x14ac:dyDescent="0.25">
      <c r="A209" s="20"/>
      <c r="B209" s="17" t="s">
        <v>42</v>
      </c>
      <c r="C209" s="14"/>
      <c r="D209" s="14"/>
      <c r="E209" s="14"/>
      <c r="F209" s="14"/>
      <c r="G209" s="14"/>
      <c r="H209" s="14"/>
      <c r="I209" s="17">
        <v>0</v>
      </c>
      <c r="J209" s="17">
        <v>0</v>
      </c>
      <c r="K209" s="17">
        <v>0</v>
      </c>
    </row>
    <row r="210" spans="1:11" x14ac:dyDescent="0.25">
      <c r="A210" s="18">
        <v>42009</v>
      </c>
      <c r="B210" s="19" t="s">
        <v>203</v>
      </c>
      <c r="C210" s="14">
        <v>1900</v>
      </c>
      <c r="D210" s="14">
        <f>+E210/C210</f>
        <v>0.05</v>
      </c>
      <c r="E210" s="14">
        <v>95</v>
      </c>
      <c r="F210" s="14"/>
      <c r="G210" s="14"/>
      <c r="H210" s="14"/>
      <c r="I210" s="14">
        <f>+I209+C210</f>
        <v>1900</v>
      </c>
      <c r="J210" s="21">
        <f>+K210/I210</f>
        <v>0.05</v>
      </c>
      <c r="K210" s="21">
        <f>+K209+E210</f>
        <v>95</v>
      </c>
    </row>
    <row r="211" spans="1:11" x14ac:dyDescent="0.25">
      <c r="A211" s="106">
        <v>42278</v>
      </c>
      <c r="B211" s="63" t="s">
        <v>320</v>
      </c>
      <c r="C211" s="107"/>
      <c r="D211" s="107"/>
      <c r="E211" s="107"/>
      <c r="F211" s="107">
        <v>1</v>
      </c>
      <c r="G211" s="108">
        <f>+J210</f>
        <v>0.05</v>
      </c>
      <c r="H211" s="107">
        <f>+F211*G211</f>
        <v>0.05</v>
      </c>
      <c r="I211" s="107">
        <f>+I210-F211</f>
        <v>1899</v>
      </c>
      <c r="J211" s="108">
        <f>+K211/I211</f>
        <v>0.05</v>
      </c>
      <c r="K211" s="108">
        <f>+K210-H211</f>
        <v>94.95</v>
      </c>
    </row>
    <row r="212" spans="1:11" x14ac:dyDescent="0.25">
      <c r="A212" s="106">
        <v>42292</v>
      </c>
      <c r="B212" s="63" t="s">
        <v>350</v>
      </c>
      <c r="C212" s="107"/>
      <c r="D212" s="107"/>
      <c r="E212" s="107"/>
      <c r="F212" s="107">
        <v>1</v>
      </c>
      <c r="G212" s="108">
        <f>+J211</f>
        <v>0.05</v>
      </c>
      <c r="H212" s="107">
        <f>+F212*G212</f>
        <v>0.05</v>
      </c>
      <c r="I212" s="107">
        <f>+I211-F212</f>
        <v>1898</v>
      </c>
      <c r="J212" s="108">
        <f>+K212/I212</f>
        <v>0.05</v>
      </c>
      <c r="K212" s="108">
        <f>+K211-H212</f>
        <v>94.9</v>
      </c>
    </row>
    <row r="213" spans="1:11" x14ac:dyDescent="0.25">
      <c r="A213" s="106">
        <v>42298</v>
      </c>
      <c r="B213" s="63" t="s">
        <v>370</v>
      </c>
      <c r="C213" s="107"/>
      <c r="D213" s="107"/>
      <c r="E213" s="107"/>
      <c r="F213" s="107">
        <v>1</v>
      </c>
      <c r="G213" s="108">
        <f>+J212</f>
        <v>0.05</v>
      </c>
      <c r="H213" s="107">
        <f>+F213*G213</f>
        <v>0.05</v>
      </c>
      <c r="I213" s="107">
        <f>+I212-F213</f>
        <v>1897</v>
      </c>
      <c r="J213" s="108">
        <f>+K213/I213</f>
        <v>0.05</v>
      </c>
      <c r="K213" s="108">
        <f>+K212-H213</f>
        <v>94.850000000000009</v>
      </c>
    </row>
    <row r="214" spans="1:11" x14ac:dyDescent="0.25">
      <c r="A214" s="106">
        <v>42303</v>
      </c>
      <c r="B214" s="63" t="s">
        <v>387</v>
      </c>
      <c r="C214" s="107"/>
      <c r="D214" s="107"/>
      <c r="E214" s="107"/>
      <c r="F214" s="107">
        <v>1</v>
      </c>
      <c r="G214" s="108">
        <f>+J213</f>
        <v>0.05</v>
      </c>
      <c r="H214" s="107">
        <f>+F214*G214</f>
        <v>0.05</v>
      </c>
      <c r="I214" s="107">
        <f>+I213-F214</f>
        <v>1896</v>
      </c>
      <c r="J214" s="108">
        <f>+K214/I214</f>
        <v>0.05</v>
      </c>
      <c r="K214" s="108">
        <f>+K213-H214</f>
        <v>94.800000000000011</v>
      </c>
    </row>
    <row r="215" spans="1:11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20" spans="1:11" x14ac:dyDescent="0.25">
      <c r="A220" s="456" t="s">
        <v>10</v>
      </c>
      <c r="B220" s="456"/>
      <c r="C220" s="456"/>
      <c r="D220" s="456"/>
      <c r="E220" s="456"/>
      <c r="F220" s="456"/>
      <c r="G220" s="456"/>
      <c r="H220" s="456"/>
      <c r="I220" s="456"/>
      <c r="J220" s="456"/>
      <c r="K220" s="456"/>
    </row>
    <row r="221" spans="1:11" x14ac:dyDescent="0.25">
      <c r="A221" s="456" t="s">
        <v>11</v>
      </c>
      <c r="B221" s="456"/>
      <c r="C221" s="456"/>
      <c r="D221" s="456"/>
      <c r="E221" s="456"/>
      <c r="F221" s="456"/>
      <c r="G221" s="456"/>
      <c r="H221" s="456"/>
      <c r="I221" s="456"/>
      <c r="J221" s="456"/>
      <c r="K221" s="456"/>
    </row>
    <row r="222" spans="1:11" x14ac:dyDescent="0.25">
      <c r="A222" s="14" t="s">
        <v>8</v>
      </c>
      <c r="B222" s="458" t="s">
        <v>25</v>
      </c>
      <c r="C222" s="459"/>
      <c r="D222" s="459"/>
      <c r="E222" s="460"/>
      <c r="F222" s="15" t="s">
        <v>48</v>
      </c>
      <c r="G222" s="458" t="s">
        <v>49</v>
      </c>
      <c r="H222" s="459"/>
      <c r="I222" s="459"/>
      <c r="J222" s="459"/>
      <c r="K222" s="460"/>
    </row>
    <row r="223" spans="1:11" x14ac:dyDescent="0.25">
      <c r="A223" s="12" t="s">
        <v>9</v>
      </c>
      <c r="B223" s="457" t="s">
        <v>44</v>
      </c>
      <c r="C223" s="457"/>
      <c r="D223" s="457"/>
      <c r="E223" s="457"/>
      <c r="F223" s="23" t="s">
        <v>12</v>
      </c>
      <c r="G223" s="457" t="s">
        <v>56</v>
      </c>
      <c r="H223" s="457"/>
      <c r="I223" s="457"/>
      <c r="J223" s="457"/>
      <c r="K223" s="457"/>
    </row>
    <row r="224" spans="1:11" x14ac:dyDescent="0.25">
      <c r="A224" s="455" t="s">
        <v>0</v>
      </c>
      <c r="B224" s="455" t="s">
        <v>1</v>
      </c>
      <c r="C224" s="455" t="s">
        <v>2</v>
      </c>
      <c r="D224" s="455"/>
      <c r="E224" s="455"/>
      <c r="F224" s="455" t="s">
        <v>3</v>
      </c>
      <c r="G224" s="455"/>
      <c r="H224" s="455"/>
      <c r="I224" s="455" t="s">
        <v>4</v>
      </c>
      <c r="J224" s="455"/>
      <c r="K224" s="455"/>
    </row>
    <row r="225" spans="1:11" x14ac:dyDescent="0.25">
      <c r="A225" s="455"/>
      <c r="B225" s="455"/>
      <c r="C225" s="14" t="s">
        <v>5</v>
      </c>
      <c r="D225" s="14" t="s">
        <v>6</v>
      </c>
      <c r="E225" s="14" t="s">
        <v>7</v>
      </c>
      <c r="F225" s="14" t="s">
        <v>5</v>
      </c>
      <c r="G225" s="14" t="s">
        <v>6</v>
      </c>
      <c r="H225" s="14" t="s">
        <v>7</v>
      </c>
      <c r="I225" s="14" t="s">
        <v>5</v>
      </c>
      <c r="J225" s="14" t="s">
        <v>6</v>
      </c>
      <c r="K225" s="14" t="s">
        <v>7</v>
      </c>
    </row>
    <row r="226" spans="1:11" x14ac:dyDescent="0.25">
      <c r="A226" s="20"/>
      <c r="B226" s="17" t="s">
        <v>42</v>
      </c>
      <c r="C226" s="14"/>
      <c r="D226" s="14"/>
      <c r="E226" s="14"/>
      <c r="F226" s="14"/>
      <c r="G226" s="14"/>
      <c r="H226" s="14"/>
      <c r="I226" s="17">
        <v>0</v>
      </c>
      <c r="J226" s="17">
        <v>0</v>
      </c>
      <c r="K226" s="17">
        <v>0</v>
      </c>
    </row>
    <row r="227" spans="1:11" x14ac:dyDescent="0.25">
      <c r="A227" s="18">
        <v>42009</v>
      </c>
      <c r="B227" s="19" t="s">
        <v>203</v>
      </c>
      <c r="C227" s="14">
        <v>2500</v>
      </c>
      <c r="D227" s="14">
        <f>+E227/C227</f>
        <v>4.1200000000000001E-2</v>
      </c>
      <c r="E227" s="14">
        <v>103</v>
      </c>
      <c r="F227" s="14"/>
      <c r="G227" s="14"/>
      <c r="H227" s="14"/>
      <c r="I227" s="14">
        <f>+I226+C227</f>
        <v>2500</v>
      </c>
      <c r="J227" s="21">
        <f>+K227/I227</f>
        <v>4.1200000000000001E-2</v>
      </c>
      <c r="K227" s="21">
        <f>+K226+E227</f>
        <v>103</v>
      </c>
    </row>
    <row r="228" spans="1:11" x14ac:dyDescent="0.25">
      <c r="A228" s="106">
        <v>42283</v>
      </c>
      <c r="B228" s="63" t="s">
        <v>326</v>
      </c>
      <c r="C228" s="107"/>
      <c r="D228" s="107"/>
      <c r="E228" s="107"/>
      <c r="F228" s="107">
        <v>2</v>
      </c>
      <c r="G228" s="108">
        <f>+J227</f>
        <v>4.1200000000000001E-2</v>
      </c>
      <c r="H228" s="108">
        <f>+G228*F228</f>
        <v>8.2400000000000001E-2</v>
      </c>
      <c r="I228" s="107">
        <f>+I227-F228</f>
        <v>2498</v>
      </c>
      <c r="J228" s="108">
        <f>+K228/I228</f>
        <v>4.1200000000000001E-2</v>
      </c>
      <c r="K228" s="108">
        <f>+K227-H228</f>
        <v>102.91759999999999</v>
      </c>
    </row>
    <row r="229" spans="1:11" x14ac:dyDescent="0.25">
      <c r="A229" s="106">
        <v>42296</v>
      </c>
      <c r="B229" s="66" t="s">
        <v>359</v>
      </c>
      <c r="C229" s="107"/>
      <c r="D229" s="107"/>
      <c r="E229" s="107"/>
      <c r="F229" s="107">
        <v>2</v>
      </c>
      <c r="G229" s="108">
        <f>+J228</f>
        <v>4.1200000000000001E-2</v>
      </c>
      <c r="H229" s="108">
        <f>+G229*F229</f>
        <v>8.2400000000000001E-2</v>
      </c>
      <c r="I229" s="107">
        <f>+I228-F229</f>
        <v>2496</v>
      </c>
      <c r="J229" s="108">
        <f>+K229/I229</f>
        <v>4.1199999999999994E-2</v>
      </c>
      <c r="K229" s="108">
        <f>+K228-H229</f>
        <v>102.83519999999999</v>
      </c>
    </row>
    <row r="230" spans="1:11" x14ac:dyDescent="0.25">
      <c r="A230" s="106">
        <v>42299</v>
      </c>
      <c r="B230" s="66" t="s">
        <v>375</v>
      </c>
      <c r="C230" s="107"/>
      <c r="D230" s="107"/>
      <c r="E230" s="107"/>
      <c r="F230" s="107">
        <v>2</v>
      </c>
      <c r="G230" s="108">
        <f>+J229</f>
        <v>4.1199999999999994E-2</v>
      </c>
      <c r="H230" s="108">
        <f>+G230*F230</f>
        <v>8.2399999999999987E-2</v>
      </c>
      <c r="I230" s="107">
        <f>+I229-F230</f>
        <v>2494</v>
      </c>
      <c r="J230" s="108">
        <f>+K230/I230</f>
        <v>4.1199999999999994E-2</v>
      </c>
      <c r="K230" s="108">
        <f>+K229-H230</f>
        <v>102.75279999999998</v>
      </c>
    </row>
    <row r="231" spans="1:11" x14ac:dyDescent="0.25">
      <c r="A231" s="106">
        <v>42305</v>
      </c>
      <c r="B231" s="63" t="s">
        <v>395</v>
      </c>
      <c r="C231" s="107"/>
      <c r="D231" s="107"/>
      <c r="E231" s="107"/>
      <c r="F231" s="107">
        <v>2</v>
      </c>
      <c r="G231" s="108">
        <f>+J230</f>
        <v>4.1199999999999994E-2</v>
      </c>
      <c r="H231" s="108">
        <f>+G231*F231</f>
        <v>8.2399999999999987E-2</v>
      </c>
      <c r="I231" s="107">
        <f>+I230-F231</f>
        <v>2492</v>
      </c>
      <c r="J231" s="108">
        <f>+K231/I231</f>
        <v>4.1199999999999987E-2</v>
      </c>
      <c r="K231" s="108">
        <f>+K230-H231</f>
        <v>102.67039999999997</v>
      </c>
    </row>
    <row r="232" spans="1:11" x14ac:dyDescent="0.25">
      <c r="A232" s="20"/>
      <c r="B232" s="123"/>
      <c r="C232" s="14"/>
      <c r="D232" s="14"/>
      <c r="E232" s="14"/>
      <c r="F232" s="14"/>
      <c r="G232" s="21"/>
      <c r="H232" s="21"/>
      <c r="I232" s="14"/>
      <c r="J232" s="21"/>
      <c r="K232" s="21"/>
    </row>
    <row r="233" spans="1:11" x14ac:dyDescent="0.25">
      <c r="A233" s="20"/>
      <c r="B233" s="123"/>
      <c r="C233" s="14"/>
      <c r="D233" s="14"/>
      <c r="E233" s="14"/>
      <c r="F233" s="14"/>
      <c r="G233" s="21"/>
      <c r="H233" s="21"/>
      <c r="I233" s="14"/>
      <c r="J233" s="21"/>
      <c r="K233" s="21"/>
    </row>
    <row r="234" spans="1:11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41" spans="1:11" x14ac:dyDescent="0.25">
      <c r="A241" s="456" t="s">
        <v>10</v>
      </c>
      <c r="B241" s="456"/>
      <c r="C241" s="456"/>
      <c r="D241" s="456"/>
      <c r="E241" s="456"/>
      <c r="F241" s="456"/>
      <c r="G241" s="456"/>
      <c r="H241" s="456"/>
      <c r="I241" s="456"/>
      <c r="J241" s="456"/>
      <c r="K241" s="456"/>
    </row>
    <row r="242" spans="1:11" x14ac:dyDescent="0.25">
      <c r="A242" s="456" t="s">
        <v>11</v>
      </c>
      <c r="B242" s="456"/>
      <c r="C242" s="456"/>
      <c r="D242" s="456"/>
      <c r="E242" s="456"/>
      <c r="F242" s="456"/>
      <c r="G242" s="456"/>
      <c r="H242" s="456"/>
      <c r="I242" s="456"/>
      <c r="J242" s="456"/>
      <c r="K242" s="456"/>
    </row>
    <row r="243" spans="1:11" x14ac:dyDescent="0.25">
      <c r="A243" s="14" t="s">
        <v>8</v>
      </c>
      <c r="B243" s="458" t="s">
        <v>26</v>
      </c>
      <c r="C243" s="459"/>
      <c r="D243" s="459"/>
      <c r="E243" s="460"/>
      <c r="F243" s="15" t="s">
        <v>48</v>
      </c>
      <c r="G243" s="458" t="s">
        <v>49</v>
      </c>
      <c r="H243" s="459"/>
      <c r="I243" s="459"/>
      <c r="J243" s="459"/>
      <c r="K243" s="460"/>
    </row>
    <row r="244" spans="1:11" x14ac:dyDescent="0.25">
      <c r="A244" s="12" t="s">
        <v>9</v>
      </c>
      <c r="B244" s="457" t="s">
        <v>44</v>
      </c>
      <c r="C244" s="457"/>
      <c r="D244" s="457"/>
      <c r="E244" s="457"/>
      <c r="F244" s="25" t="s">
        <v>12</v>
      </c>
      <c r="G244" s="457" t="s">
        <v>57</v>
      </c>
      <c r="H244" s="457"/>
      <c r="I244" s="457"/>
      <c r="J244" s="457"/>
      <c r="K244" s="457"/>
    </row>
    <row r="245" spans="1:11" x14ac:dyDescent="0.25">
      <c r="A245" s="455" t="s">
        <v>0</v>
      </c>
      <c r="B245" s="455" t="s">
        <v>1</v>
      </c>
      <c r="C245" s="455" t="s">
        <v>2</v>
      </c>
      <c r="D245" s="455"/>
      <c r="E245" s="455"/>
      <c r="F245" s="455" t="s">
        <v>3</v>
      </c>
      <c r="G245" s="455"/>
      <c r="H245" s="455"/>
      <c r="I245" s="455" t="s">
        <v>4</v>
      </c>
      <c r="J245" s="455"/>
      <c r="K245" s="455"/>
    </row>
    <row r="246" spans="1:11" x14ac:dyDescent="0.25">
      <c r="A246" s="455"/>
      <c r="B246" s="455"/>
      <c r="C246" s="14" t="s">
        <v>5</v>
      </c>
      <c r="D246" s="14" t="s">
        <v>6</v>
      </c>
      <c r="E246" s="14" t="s">
        <v>7</v>
      </c>
      <c r="F246" s="14" t="s">
        <v>5</v>
      </c>
      <c r="G246" s="14" t="s">
        <v>6</v>
      </c>
      <c r="H246" s="14" t="s">
        <v>7</v>
      </c>
      <c r="I246" s="14" t="s">
        <v>5</v>
      </c>
      <c r="J246" s="14" t="s">
        <v>6</v>
      </c>
      <c r="K246" s="14" t="s">
        <v>7</v>
      </c>
    </row>
    <row r="247" spans="1:11" x14ac:dyDescent="0.25">
      <c r="A247" s="20"/>
      <c r="B247" s="17" t="s">
        <v>42</v>
      </c>
      <c r="C247" s="14"/>
      <c r="D247" s="14"/>
      <c r="E247" s="14"/>
      <c r="F247" s="14"/>
      <c r="G247" s="14"/>
      <c r="H247" s="14"/>
      <c r="I247" s="17">
        <v>0</v>
      </c>
      <c r="J247" s="17">
        <v>0</v>
      </c>
      <c r="K247" s="17">
        <v>0</v>
      </c>
    </row>
    <row r="248" spans="1:11" x14ac:dyDescent="0.25">
      <c r="A248" s="18">
        <v>42009</v>
      </c>
      <c r="B248" s="19" t="s">
        <v>203</v>
      </c>
      <c r="C248" s="14">
        <v>1250</v>
      </c>
      <c r="D248" s="14">
        <f>+E248/C248</f>
        <v>0.09</v>
      </c>
      <c r="E248" s="14">
        <v>112.5</v>
      </c>
      <c r="F248" s="14"/>
      <c r="G248" s="14"/>
      <c r="H248" s="14"/>
      <c r="I248" s="14">
        <f>+I247+C248</f>
        <v>1250</v>
      </c>
      <c r="J248" s="21">
        <f>+K248/I248</f>
        <v>0.09</v>
      </c>
      <c r="K248" s="21">
        <f>+K247+E248</f>
        <v>112.5</v>
      </c>
    </row>
    <row r="249" spans="1:11" x14ac:dyDescent="0.25">
      <c r="A249" s="106">
        <v>42283</v>
      </c>
      <c r="B249" s="63" t="s">
        <v>326</v>
      </c>
      <c r="C249" s="107"/>
      <c r="D249" s="107"/>
      <c r="E249" s="107"/>
      <c r="F249" s="107">
        <v>1</v>
      </c>
      <c r="G249" s="108">
        <f>+J248</f>
        <v>0.09</v>
      </c>
      <c r="H249" s="107">
        <f>+G249*F249</f>
        <v>0.09</v>
      </c>
      <c r="I249" s="107">
        <f>+I248-F249</f>
        <v>1249</v>
      </c>
      <c r="J249" s="108">
        <f>+K249/I249</f>
        <v>0.09</v>
      </c>
      <c r="K249" s="108">
        <f>+K248-H249</f>
        <v>112.41</v>
      </c>
    </row>
    <row r="250" spans="1:11" x14ac:dyDescent="0.25">
      <c r="A250" s="106">
        <v>42296</v>
      </c>
      <c r="B250" s="63" t="s">
        <v>359</v>
      </c>
      <c r="C250" s="107"/>
      <c r="D250" s="107"/>
      <c r="E250" s="107"/>
      <c r="F250" s="107">
        <v>1</v>
      </c>
      <c r="G250" s="108">
        <f>+J249</f>
        <v>0.09</v>
      </c>
      <c r="H250" s="107">
        <f>+G250*F250</f>
        <v>0.09</v>
      </c>
      <c r="I250" s="107">
        <f>+I249-F250</f>
        <v>1248</v>
      </c>
      <c r="J250" s="108">
        <f>+K250/I250</f>
        <v>0.09</v>
      </c>
      <c r="K250" s="108">
        <f>+K249-H250</f>
        <v>112.32</v>
      </c>
    </row>
    <row r="251" spans="1:11" x14ac:dyDescent="0.25">
      <c r="A251" s="106">
        <v>42299</v>
      </c>
      <c r="B251" s="63" t="s">
        <v>375</v>
      </c>
      <c r="C251" s="107"/>
      <c r="D251" s="107"/>
      <c r="E251" s="107"/>
      <c r="F251" s="107">
        <v>1</v>
      </c>
      <c r="G251" s="108">
        <f>+J250</f>
        <v>0.09</v>
      </c>
      <c r="H251" s="108">
        <f>+G251*F251</f>
        <v>0.09</v>
      </c>
      <c r="I251" s="107">
        <f>+I250-F251</f>
        <v>1247</v>
      </c>
      <c r="J251" s="108">
        <f>+K251/I251</f>
        <v>0.09</v>
      </c>
      <c r="K251" s="108">
        <f>+K250-H251</f>
        <v>112.22999999999999</v>
      </c>
    </row>
    <row r="252" spans="1:11" x14ac:dyDescent="0.25">
      <c r="A252" s="106">
        <v>42305</v>
      </c>
      <c r="B252" s="63" t="s">
        <v>395</v>
      </c>
      <c r="C252" s="107"/>
      <c r="D252" s="107"/>
      <c r="E252" s="107"/>
      <c r="F252" s="107">
        <v>1</v>
      </c>
      <c r="G252" s="108">
        <f>+J251</f>
        <v>0.09</v>
      </c>
      <c r="H252" s="108">
        <f>+G252*F252</f>
        <v>0.09</v>
      </c>
      <c r="I252" s="107">
        <f>+I251-F252</f>
        <v>1246</v>
      </c>
      <c r="J252" s="108">
        <f>+K252/I252</f>
        <v>8.9999999999999983E-2</v>
      </c>
      <c r="K252" s="108">
        <f>+K251-H252</f>
        <v>112.13999999999999</v>
      </c>
    </row>
    <row r="253" spans="1:11" x14ac:dyDescent="0.25">
      <c r="A253" s="20"/>
      <c r="B253" s="123"/>
      <c r="C253" s="14"/>
      <c r="D253" s="14"/>
      <c r="E253" s="14"/>
      <c r="F253" s="14"/>
      <c r="G253" s="21"/>
      <c r="H253" s="21"/>
      <c r="I253" s="14"/>
      <c r="J253" s="21"/>
      <c r="K253" s="21"/>
    </row>
    <row r="254" spans="1:11" x14ac:dyDescent="0.25">
      <c r="A254" s="132"/>
      <c r="B254" s="141"/>
      <c r="C254" s="133"/>
      <c r="D254" s="133"/>
      <c r="E254" s="133"/>
      <c r="F254" s="133"/>
      <c r="G254" s="134"/>
      <c r="H254" s="134"/>
      <c r="I254" s="133"/>
      <c r="J254" s="134"/>
      <c r="K254" s="134"/>
    </row>
    <row r="258" spans="1:11" x14ac:dyDescent="0.25">
      <c r="A258" s="456" t="s">
        <v>10</v>
      </c>
      <c r="B258" s="456"/>
      <c r="C258" s="456"/>
      <c r="D258" s="456"/>
      <c r="E258" s="456"/>
      <c r="F258" s="456"/>
      <c r="G258" s="456"/>
      <c r="H258" s="456"/>
      <c r="I258" s="456"/>
      <c r="J258" s="456"/>
      <c r="K258" s="456"/>
    </row>
    <row r="259" spans="1:11" x14ac:dyDescent="0.25">
      <c r="A259" s="456" t="s">
        <v>11</v>
      </c>
      <c r="B259" s="456"/>
      <c r="C259" s="456"/>
      <c r="D259" s="456"/>
      <c r="E259" s="456"/>
      <c r="F259" s="456"/>
      <c r="G259" s="456"/>
      <c r="H259" s="456"/>
      <c r="I259" s="456"/>
      <c r="J259" s="456"/>
      <c r="K259" s="456"/>
    </row>
    <row r="260" spans="1:11" x14ac:dyDescent="0.25">
      <c r="A260" s="14" t="s">
        <v>8</v>
      </c>
      <c r="B260" s="458" t="s">
        <v>27</v>
      </c>
      <c r="C260" s="459"/>
      <c r="D260" s="459"/>
      <c r="E260" s="460"/>
      <c r="F260" s="15" t="s">
        <v>48</v>
      </c>
      <c r="G260" s="458" t="s">
        <v>49</v>
      </c>
      <c r="H260" s="459"/>
      <c r="I260" s="459"/>
      <c r="J260" s="459"/>
      <c r="K260" s="460"/>
    </row>
    <row r="261" spans="1:11" x14ac:dyDescent="0.25">
      <c r="A261" s="12" t="s">
        <v>9</v>
      </c>
      <c r="B261" s="457" t="s">
        <v>55</v>
      </c>
      <c r="C261" s="457"/>
      <c r="D261" s="457"/>
      <c r="E261" s="457"/>
      <c r="F261" s="23" t="s">
        <v>12</v>
      </c>
      <c r="G261" s="457" t="s">
        <v>52</v>
      </c>
      <c r="H261" s="457"/>
      <c r="I261" s="457"/>
      <c r="J261" s="457"/>
      <c r="K261" s="457"/>
    </row>
    <row r="262" spans="1:11" x14ac:dyDescent="0.25">
      <c r="A262" s="455" t="s">
        <v>0</v>
      </c>
      <c r="B262" s="455" t="s">
        <v>1</v>
      </c>
      <c r="C262" s="455" t="s">
        <v>2</v>
      </c>
      <c r="D262" s="455"/>
      <c r="E262" s="455"/>
      <c r="F262" s="455" t="s">
        <v>3</v>
      </c>
      <c r="G262" s="455"/>
      <c r="H262" s="455"/>
      <c r="I262" s="455" t="s">
        <v>4</v>
      </c>
      <c r="J262" s="455"/>
      <c r="K262" s="455"/>
    </row>
    <row r="263" spans="1:11" x14ac:dyDescent="0.25">
      <c r="A263" s="455"/>
      <c r="B263" s="455"/>
      <c r="C263" s="14" t="s">
        <v>5</v>
      </c>
      <c r="D263" s="14" t="s">
        <v>6</v>
      </c>
      <c r="E263" s="14" t="s">
        <v>7</v>
      </c>
      <c r="F263" s="14" t="s">
        <v>5</v>
      </c>
      <c r="G263" s="14" t="s">
        <v>6</v>
      </c>
      <c r="H263" s="14" t="s">
        <v>7</v>
      </c>
      <c r="I263" s="14" t="s">
        <v>5</v>
      </c>
      <c r="J263" s="14" t="s">
        <v>6</v>
      </c>
      <c r="K263" s="14" t="s">
        <v>7</v>
      </c>
    </row>
    <row r="264" spans="1:11" x14ac:dyDescent="0.25">
      <c r="A264" s="20"/>
      <c r="B264" s="17" t="s">
        <v>42</v>
      </c>
      <c r="C264" s="14"/>
      <c r="D264" s="14"/>
      <c r="E264" s="14"/>
      <c r="F264" s="14"/>
      <c r="G264" s="14"/>
      <c r="H264" s="14"/>
      <c r="I264" s="17">
        <v>0</v>
      </c>
      <c r="J264" s="17">
        <v>0</v>
      </c>
      <c r="K264" s="17">
        <v>0</v>
      </c>
    </row>
    <row r="265" spans="1:11" x14ac:dyDescent="0.25">
      <c r="A265" s="18">
        <v>42009</v>
      </c>
      <c r="B265" s="19" t="s">
        <v>203</v>
      </c>
      <c r="C265" s="14">
        <v>1500</v>
      </c>
      <c r="D265" s="21">
        <f>+E265/C265</f>
        <v>6.3500000000000001E-2</v>
      </c>
      <c r="E265" s="14">
        <v>95.25</v>
      </c>
      <c r="F265" s="14"/>
      <c r="G265" s="14"/>
      <c r="H265" s="14"/>
      <c r="I265" s="14">
        <f>+I264+C265</f>
        <v>1500</v>
      </c>
      <c r="J265" s="21">
        <f>+K265/I265</f>
        <v>6.3500000000000001E-2</v>
      </c>
      <c r="K265" s="21">
        <f>+K264+E265</f>
        <v>95.25</v>
      </c>
    </row>
    <row r="266" spans="1:11" x14ac:dyDescent="0.25">
      <c r="A266" s="106">
        <v>42289</v>
      </c>
      <c r="B266" s="107" t="s">
        <v>334</v>
      </c>
      <c r="C266" s="107"/>
      <c r="D266" s="107"/>
      <c r="E266" s="107"/>
      <c r="F266" s="107">
        <v>1</v>
      </c>
      <c r="G266" s="108">
        <f>+J265</f>
        <v>6.3500000000000001E-2</v>
      </c>
      <c r="H266" s="108">
        <f>+G266*F266</f>
        <v>6.3500000000000001E-2</v>
      </c>
      <c r="I266" s="107">
        <f>+I265-F266</f>
        <v>1499</v>
      </c>
      <c r="J266" s="108">
        <f>+K266/I266</f>
        <v>6.3500000000000001E-2</v>
      </c>
      <c r="K266" s="108">
        <f>+K265-H266</f>
        <v>95.186499999999995</v>
      </c>
    </row>
    <row r="267" spans="1:11" x14ac:dyDescent="0.25">
      <c r="A267" s="122">
        <v>42293</v>
      </c>
      <c r="B267" s="107" t="s">
        <v>354</v>
      </c>
      <c r="C267" s="68"/>
      <c r="D267" s="69"/>
      <c r="E267" s="68"/>
      <c r="F267" s="68">
        <v>1</v>
      </c>
      <c r="G267" s="69">
        <f>+J266</f>
        <v>6.3500000000000001E-2</v>
      </c>
      <c r="H267" s="69">
        <f>+G267*F267</f>
        <v>6.3500000000000001E-2</v>
      </c>
      <c r="I267" s="107">
        <f>+I266-F267</f>
        <v>1498</v>
      </c>
      <c r="J267" s="108">
        <f>+K267/I267</f>
        <v>6.3499999999999987E-2</v>
      </c>
      <c r="K267" s="108">
        <f>+K266-H267</f>
        <v>95.12299999999999</v>
      </c>
    </row>
    <row r="268" spans="1:11" x14ac:dyDescent="0.25">
      <c r="A268" s="106">
        <v>42300</v>
      </c>
      <c r="B268" s="107" t="s">
        <v>380</v>
      </c>
      <c r="C268" s="107"/>
      <c r="D268" s="107"/>
      <c r="E268" s="107"/>
      <c r="F268" s="68">
        <v>1</v>
      </c>
      <c r="G268" s="69">
        <f>+J267</f>
        <v>6.3499999999999987E-2</v>
      </c>
      <c r="H268" s="69">
        <f>+G268*F268</f>
        <v>6.3499999999999987E-2</v>
      </c>
      <c r="I268" s="107">
        <f>+I267-F268</f>
        <v>1497</v>
      </c>
      <c r="J268" s="108">
        <f>+K268/I268</f>
        <v>6.3499999999999987E-2</v>
      </c>
      <c r="K268" s="108">
        <f>+K267-H268</f>
        <v>95.059499999999986</v>
      </c>
    </row>
    <row r="272" spans="1:11" x14ac:dyDescent="0.25">
      <c r="A272" s="456" t="s">
        <v>10</v>
      </c>
      <c r="B272" s="456"/>
      <c r="C272" s="456"/>
      <c r="D272" s="456"/>
      <c r="E272" s="456"/>
      <c r="F272" s="456"/>
      <c r="G272" s="456"/>
      <c r="H272" s="456"/>
      <c r="I272" s="456"/>
      <c r="J272" s="456"/>
      <c r="K272" s="456"/>
    </row>
    <row r="273" spans="1:11" x14ac:dyDescent="0.25">
      <c r="A273" s="456" t="s">
        <v>11</v>
      </c>
      <c r="B273" s="456"/>
      <c r="C273" s="456"/>
      <c r="D273" s="456"/>
      <c r="E273" s="456"/>
      <c r="F273" s="456"/>
      <c r="G273" s="456"/>
      <c r="H273" s="456"/>
      <c r="I273" s="456"/>
      <c r="J273" s="456"/>
      <c r="K273" s="456"/>
    </row>
    <row r="274" spans="1:11" x14ac:dyDescent="0.25">
      <c r="A274" s="14" t="s">
        <v>8</v>
      </c>
      <c r="B274" s="458" t="s">
        <v>29</v>
      </c>
      <c r="C274" s="459"/>
      <c r="D274" s="459"/>
      <c r="E274" s="460"/>
      <c r="F274" s="15" t="s">
        <v>48</v>
      </c>
      <c r="G274" s="458" t="s">
        <v>49</v>
      </c>
      <c r="H274" s="459"/>
      <c r="I274" s="459"/>
      <c r="J274" s="459"/>
      <c r="K274" s="460"/>
    </row>
    <row r="275" spans="1:11" x14ac:dyDescent="0.25">
      <c r="A275" s="12" t="s">
        <v>9</v>
      </c>
      <c r="B275" s="457" t="s">
        <v>58</v>
      </c>
      <c r="C275" s="457"/>
      <c r="D275" s="457"/>
      <c r="E275" s="457"/>
      <c r="F275" s="16" t="s">
        <v>12</v>
      </c>
      <c r="G275" s="458" t="s">
        <v>52</v>
      </c>
      <c r="H275" s="459"/>
      <c r="I275" s="459"/>
      <c r="J275" s="459"/>
      <c r="K275" s="460"/>
    </row>
    <row r="276" spans="1:11" x14ac:dyDescent="0.25">
      <c r="A276" s="455" t="s">
        <v>0</v>
      </c>
      <c r="B276" s="455" t="s">
        <v>1</v>
      </c>
      <c r="C276" s="455" t="s">
        <v>2</v>
      </c>
      <c r="D276" s="455"/>
      <c r="E276" s="455"/>
      <c r="F276" s="455" t="s">
        <v>3</v>
      </c>
      <c r="G276" s="455"/>
      <c r="H276" s="455"/>
      <c r="I276" s="455" t="s">
        <v>4</v>
      </c>
      <c r="J276" s="455"/>
      <c r="K276" s="455"/>
    </row>
    <row r="277" spans="1:11" x14ac:dyDescent="0.25">
      <c r="A277" s="455"/>
      <c r="B277" s="455"/>
      <c r="C277" s="14" t="s">
        <v>5</v>
      </c>
      <c r="D277" s="14" t="s">
        <v>6</v>
      </c>
      <c r="E277" s="14" t="s">
        <v>7</v>
      </c>
      <c r="F277" s="14" t="s">
        <v>5</v>
      </c>
      <c r="G277" s="14" t="s">
        <v>6</v>
      </c>
      <c r="H277" s="14" t="s">
        <v>7</v>
      </c>
      <c r="I277" s="14" t="s">
        <v>5</v>
      </c>
      <c r="J277" s="14" t="s">
        <v>6</v>
      </c>
      <c r="K277" s="14" t="s">
        <v>7</v>
      </c>
    </row>
    <row r="278" spans="1:11" x14ac:dyDescent="0.25">
      <c r="A278" s="20"/>
      <c r="B278" s="17" t="s">
        <v>42</v>
      </c>
      <c r="C278" s="14"/>
      <c r="D278" s="14"/>
      <c r="E278" s="14"/>
      <c r="F278" s="14"/>
      <c r="G278" s="14"/>
      <c r="H278" s="14"/>
      <c r="I278" s="17">
        <v>0</v>
      </c>
      <c r="J278" s="17">
        <v>0</v>
      </c>
      <c r="K278" s="17">
        <v>0</v>
      </c>
    </row>
    <row r="279" spans="1:11" x14ac:dyDescent="0.25">
      <c r="A279" s="18">
        <v>42009</v>
      </c>
      <c r="B279" s="19" t="s">
        <v>203</v>
      </c>
      <c r="C279" s="14">
        <v>2000</v>
      </c>
      <c r="D279" s="21">
        <f>+E279/C279</f>
        <v>8.9999999999999993E-3</v>
      </c>
      <c r="E279" s="14">
        <v>18</v>
      </c>
      <c r="F279" s="14"/>
      <c r="G279" s="14"/>
      <c r="H279" s="14"/>
      <c r="I279" s="14">
        <f>+I278+C279</f>
        <v>2000</v>
      </c>
      <c r="J279" s="21">
        <f>+K279/I279</f>
        <v>8.9999999999999993E-3</v>
      </c>
      <c r="K279" s="21">
        <f>+K278+E279</f>
        <v>18</v>
      </c>
    </row>
    <row r="280" spans="1:11" x14ac:dyDescent="0.25">
      <c r="A280" s="106">
        <v>42278</v>
      </c>
      <c r="B280" s="63" t="s">
        <v>320</v>
      </c>
      <c r="C280" s="107"/>
      <c r="D280" s="107"/>
      <c r="E280" s="107"/>
      <c r="F280" s="107">
        <v>1</v>
      </c>
      <c r="G280" s="108">
        <f>+J279</f>
        <v>8.9999999999999993E-3</v>
      </c>
      <c r="H280" s="108">
        <f>+G280*F280</f>
        <v>8.9999999999999993E-3</v>
      </c>
      <c r="I280" s="107">
        <f>+I279-F280</f>
        <v>1999</v>
      </c>
      <c r="J280" s="108">
        <f>+K280/I280</f>
        <v>8.9999999999999993E-3</v>
      </c>
      <c r="K280" s="108">
        <f>+K279-H280</f>
        <v>17.991</v>
      </c>
    </row>
    <row r="281" spans="1:11" x14ac:dyDescent="0.25">
      <c r="A281" s="106">
        <v>42292</v>
      </c>
      <c r="B281" s="63" t="s">
        <v>350</v>
      </c>
      <c r="C281" s="107"/>
      <c r="D281" s="107"/>
      <c r="E281" s="107"/>
      <c r="F281" s="107">
        <v>1</v>
      </c>
      <c r="G281" s="108">
        <f>+J280</f>
        <v>8.9999999999999993E-3</v>
      </c>
      <c r="H281" s="108">
        <f>+G281*F281</f>
        <v>8.9999999999999993E-3</v>
      </c>
      <c r="I281" s="107">
        <f>+I280-F281</f>
        <v>1998</v>
      </c>
      <c r="J281" s="108">
        <f>+K281/I281</f>
        <v>8.9999999999999993E-3</v>
      </c>
      <c r="K281" s="108">
        <f>+K280-H281</f>
        <v>17.981999999999999</v>
      </c>
    </row>
    <row r="282" spans="1:11" x14ac:dyDescent="0.25">
      <c r="A282" s="106">
        <v>42298</v>
      </c>
      <c r="B282" s="63" t="s">
        <v>370</v>
      </c>
      <c r="C282" s="107"/>
      <c r="D282" s="107"/>
      <c r="E282" s="107"/>
      <c r="F282" s="107">
        <v>1</v>
      </c>
      <c r="G282" s="108">
        <f>+J281</f>
        <v>8.9999999999999993E-3</v>
      </c>
      <c r="H282" s="108">
        <f>+G282*F282</f>
        <v>8.9999999999999993E-3</v>
      </c>
      <c r="I282" s="107">
        <f>+I281-F282</f>
        <v>1997</v>
      </c>
      <c r="J282" s="108">
        <f>+K282/I282</f>
        <v>8.9999999999999993E-3</v>
      </c>
      <c r="K282" s="108">
        <f>+K281-H282</f>
        <v>17.972999999999999</v>
      </c>
    </row>
    <row r="283" spans="1:11" x14ac:dyDescent="0.25">
      <c r="A283" s="106">
        <v>42303</v>
      </c>
      <c r="B283" s="63" t="s">
        <v>387</v>
      </c>
      <c r="C283" s="107"/>
      <c r="D283" s="107"/>
      <c r="E283" s="107"/>
      <c r="F283" s="107">
        <v>1</v>
      </c>
      <c r="G283" s="108">
        <f>+J282</f>
        <v>8.9999999999999993E-3</v>
      </c>
      <c r="H283" s="108">
        <f>+G283*F283</f>
        <v>8.9999999999999993E-3</v>
      </c>
      <c r="I283" s="107">
        <f>+I282-F283</f>
        <v>1996</v>
      </c>
      <c r="J283" s="108">
        <f>+K283/I283</f>
        <v>8.9999999999999993E-3</v>
      </c>
      <c r="K283" s="108">
        <f>+K282-H283</f>
        <v>17.963999999999999</v>
      </c>
    </row>
    <row r="284" spans="1:11" x14ac:dyDescent="0.25">
      <c r="A284" s="20"/>
      <c r="B284" s="140"/>
      <c r="C284" s="14"/>
      <c r="D284" s="14"/>
      <c r="E284" s="14"/>
      <c r="F284" s="14"/>
      <c r="G284" s="21"/>
      <c r="H284" s="21"/>
      <c r="I284" s="14"/>
      <c r="J284" s="21"/>
      <c r="K284" s="21"/>
    </row>
    <row r="285" spans="1:11" x14ac:dyDescent="0.25">
      <c r="A285" s="20"/>
      <c r="B285" s="14"/>
      <c r="C285" s="14"/>
      <c r="D285" s="14"/>
      <c r="E285" s="14"/>
      <c r="F285" s="14"/>
      <c r="G285" s="21"/>
      <c r="H285" s="21"/>
      <c r="I285" s="14"/>
      <c r="J285" s="21"/>
      <c r="K285" s="21"/>
    </row>
    <row r="289" spans="1:11" x14ac:dyDescent="0.25">
      <c r="A289" s="456" t="s">
        <v>10</v>
      </c>
      <c r="B289" s="456"/>
      <c r="C289" s="456"/>
      <c r="D289" s="456"/>
      <c r="E289" s="456"/>
      <c r="F289" s="456"/>
      <c r="G289" s="456"/>
      <c r="H289" s="456"/>
      <c r="I289" s="456"/>
      <c r="J289" s="456"/>
      <c r="K289" s="456"/>
    </row>
    <row r="290" spans="1:11" x14ac:dyDescent="0.25">
      <c r="A290" s="456" t="s">
        <v>11</v>
      </c>
      <c r="B290" s="456"/>
      <c r="C290" s="456"/>
      <c r="D290" s="456"/>
      <c r="E290" s="456"/>
      <c r="F290" s="456"/>
      <c r="G290" s="456"/>
      <c r="H290" s="456"/>
      <c r="I290" s="456"/>
      <c r="J290" s="456"/>
      <c r="K290" s="456"/>
    </row>
    <row r="291" spans="1:11" x14ac:dyDescent="0.25">
      <c r="A291" s="14" t="s">
        <v>8</v>
      </c>
      <c r="B291" s="458" t="s">
        <v>30</v>
      </c>
      <c r="C291" s="459"/>
      <c r="D291" s="459"/>
      <c r="E291" s="460"/>
      <c r="F291" s="15" t="s">
        <v>48</v>
      </c>
      <c r="G291" s="458" t="s">
        <v>49</v>
      </c>
      <c r="H291" s="459"/>
      <c r="I291" s="459"/>
      <c r="J291" s="459"/>
      <c r="K291" s="460"/>
    </row>
    <row r="292" spans="1:11" x14ac:dyDescent="0.25">
      <c r="A292" s="12" t="s">
        <v>9</v>
      </c>
      <c r="B292" s="457" t="s">
        <v>59</v>
      </c>
      <c r="C292" s="457"/>
      <c r="D292" s="457"/>
      <c r="E292" s="457"/>
      <c r="F292" s="16" t="s">
        <v>12</v>
      </c>
      <c r="G292" s="458" t="s">
        <v>60</v>
      </c>
      <c r="H292" s="459"/>
      <c r="I292" s="459"/>
      <c r="J292" s="459"/>
      <c r="K292" s="460"/>
    </row>
    <row r="293" spans="1:11" x14ac:dyDescent="0.25">
      <c r="A293" s="455" t="s">
        <v>0</v>
      </c>
      <c r="B293" s="455" t="s">
        <v>1</v>
      </c>
      <c r="C293" s="455" t="s">
        <v>2</v>
      </c>
      <c r="D293" s="455"/>
      <c r="E293" s="455"/>
      <c r="F293" s="455" t="s">
        <v>3</v>
      </c>
      <c r="G293" s="455"/>
      <c r="H293" s="455"/>
      <c r="I293" s="455" t="s">
        <v>4</v>
      </c>
      <c r="J293" s="455"/>
      <c r="K293" s="455"/>
    </row>
    <row r="294" spans="1:11" x14ac:dyDescent="0.25">
      <c r="A294" s="455"/>
      <c r="B294" s="455"/>
      <c r="C294" s="14" t="s">
        <v>5</v>
      </c>
      <c r="D294" s="14" t="s">
        <v>6</v>
      </c>
      <c r="E294" s="14" t="s">
        <v>7</v>
      </c>
      <c r="F294" s="14" t="s">
        <v>5</v>
      </c>
      <c r="G294" s="14" t="s">
        <v>6</v>
      </c>
      <c r="H294" s="14" t="s">
        <v>7</v>
      </c>
      <c r="I294" s="14" t="s">
        <v>5</v>
      </c>
      <c r="J294" s="14" t="s">
        <v>6</v>
      </c>
      <c r="K294" s="14" t="s">
        <v>7</v>
      </c>
    </row>
    <row r="295" spans="1:11" x14ac:dyDescent="0.25">
      <c r="A295" s="20"/>
      <c r="B295" s="17" t="s">
        <v>42</v>
      </c>
      <c r="C295" s="14"/>
      <c r="D295" s="14"/>
      <c r="E295" s="14"/>
      <c r="F295" s="14"/>
      <c r="G295" s="14"/>
      <c r="H295" s="14"/>
      <c r="I295" s="17">
        <v>0</v>
      </c>
      <c r="J295" s="17">
        <v>0</v>
      </c>
      <c r="K295" s="17">
        <v>0</v>
      </c>
    </row>
    <row r="296" spans="1:11" x14ac:dyDescent="0.25">
      <c r="A296" s="18">
        <v>42009</v>
      </c>
      <c r="B296" s="19" t="s">
        <v>203</v>
      </c>
      <c r="C296" s="14">
        <v>450</v>
      </c>
      <c r="D296" s="21">
        <f>+E296/C296</f>
        <v>0.13500000000000001</v>
      </c>
      <c r="E296" s="14">
        <v>60.75</v>
      </c>
      <c r="F296" s="14"/>
      <c r="G296" s="14"/>
      <c r="H296" s="14"/>
      <c r="I296" s="14">
        <f>+I295+C296</f>
        <v>450</v>
      </c>
      <c r="J296" s="21">
        <f>+K296/I296</f>
        <v>0.13500000000000001</v>
      </c>
      <c r="K296" s="21">
        <f>+K295+E296</f>
        <v>60.75</v>
      </c>
    </row>
    <row r="297" spans="1:11" x14ac:dyDescent="0.25">
      <c r="A297" s="20"/>
      <c r="B297" s="14"/>
      <c r="C297" s="14"/>
      <c r="D297" s="14"/>
      <c r="E297" s="14"/>
      <c r="F297" s="14"/>
      <c r="G297" s="21"/>
      <c r="H297" s="14"/>
      <c r="I297" s="14"/>
      <c r="J297" s="21"/>
      <c r="K297" s="21"/>
    </row>
    <row r="298" spans="1:11" x14ac:dyDescent="0.25">
      <c r="A298" s="20"/>
      <c r="B298" s="14"/>
      <c r="C298" s="14"/>
      <c r="D298" s="14"/>
      <c r="E298" s="14"/>
      <c r="F298" s="14"/>
      <c r="G298" s="21"/>
      <c r="H298" s="14"/>
      <c r="I298" s="14"/>
      <c r="J298" s="21"/>
      <c r="K298" s="21"/>
    </row>
    <row r="299" spans="1:11" x14ac:dyDescent="0.25">
      <c r="A299" s="20"/>
      <c r="B299" s="14"/>
      <c r="C299" s="14"/>
      <c r="D299" s="14"/>
      <c r="E299" s="14"/>
      <c r="F299" s="14"/>
      <c r="G299" s="21"/>
      <c r="H299" s="21"/>
      <c r="I299" s="14"/>
      <c r="J299" s="21"/>
      <c r="K299" s="21"/>
    </row>
    <row r="302" spans="1:11" x14ac:dyDescent="0.25">
      <c r="A302" s="456" t="s">
        <v>10</v>
      </c>
      <c r="B302" s="456"/>
      <c r="C302" s="456"/>
      <c r="D302" s="456"/>
      <c r="E302" s="456"/>
      <c r="F302" s="456"/>
      <c r="G302" s="456"/>
      <c r="H302" s="456"/>
      <c r="I302" s="456"/>
      <c r="J302" s="456"/>
      <c r="K302" s="456"/>
    </row>
    <row r="303" spans="1:11" x14ac:dyDescent="0.25">
      <c r="A303" s="456" t="s">
        <v>11</v>
      </c>
      <c r="B303" s="456"/>
      <c r="C303" s="456"/>
      <c r="D303" s="456"/>
      <c r="E303" s="456"/>
      <c r="F303" s="456"/>
      <c r="G303" s="456"/>
      <c r="H303" s="456"/>
      <c r="I303" s="456"/>
      <c r="J303" s="456"/>
      <c r="K303" s="456"/>
    </row>
    <row r="304" spans="1:11" x14ac:dyDescent="0.25">
      <c r="A304" s="14" t="s">
        <v>8</v>
      </c>
      <c r="B304" s="458" t="s">
        <v>31</v>
      </c>
      <c r="C304" s="459"/>
      <c r="D304" s="459"/>
      <c r="E304" s="460"/>
      <c r="F304" s="15" t="s">
        <v>48</v>
      </c>
      <c r="G304" s="458" t="s">
        <v>49</v>
      </c>
      <c r="H304" s="459"/>
      <c r="I304" s="459"/>
      <c r="J304" s="459"/>
      <c r="K304" s="460"/>
    </row>
    <row r="305" spans="1:11" x14ac:dyDescent="0.25">
      <c r="A305" s="12" t="s">
        <v>9</v>
      </c>
      <c r="B305" s="457" t="s">
        <v>61</v>
      </c>
      <c r="C305" s="457"/>
      <c r="D305" s="457"/>
      <c r="E305" s="457"/>
      <c r="F305" s="16" t="s">
        <v>12</v>
      </c>
      <c r="G305" s="458" t="s">
        <v>62</v>
      </c>
      <c r="H305" s="459"/>
      <c r="I305" s="459"/>
      <c r="J305" s="459"/>
      <c r="K305" s="460"/>
    </row>
    <row r="306" spans="1:11" x14ac:dyDescent="0.25">
      <c r="A306" s="455" t="s">
        <v>0</v>
      </c>
      <c r="B306" s="455" t="s">
        <v>1</v>
      </c>
      <c r="C306" s="455" t="s">
        <v>2</v>
      </c>
      <c r="D306" s="455"/>
      <c r="E306" s="455"/>
      <c r="F306" s="455" t="s">
        <v>3</v>
      </c>
      <c r="G306" s="455"/>
      <c r="H306" s="455"/>
      <c r="I306" s="455" t="s">
        <v>4</v>
      </c>
      <c r="J306" s="455"/>
      <c r="K306" s="455"/>
    </row>
    <row r="307" spans="1:11" x14ac:dyDescent="0.25">
      <c r="A307" s="455"/>
      <c r="B307" s="455"/>
      <c r="C307" s="14" t="s">
        <v>5</v>
      </c>
      <c r="D307" s="14" t="s">
        <v>6</v>
      </c>
      <c r="E307" s="14" t="s">
        <v>7</v>
      </c>
      <c r="F307" s="14" t="s">
        <v>5</v>
      </c>
      <c r="G307" s="14" t="s">
        <v>6</v>
      </c>
      <c r="H307" s="14" t="s">
        <v>7</v>
      </c>
      <c r="I307" s="14" t="s">
        <v>5</v>
      </c>
      <c r="J307" s="14" t="s">
        <v>6</v>
      </c>
      <c r="K307" s="14" t="s">
        <v>7</v>
      </c>
    </row>
    <row r="308" spans="1:11" x14ac:dyDescent="0.25">
      <c r="A308" s="20"/>
      <c r="B308" s="17" t="s">
        <v>42</v>
      </c>
      <c r="C308" s="14"/>
      <c r="D308" s="14"/>
      <c r="E308" s="14"/>
      <c r="F308" s="14"/>
      <c r="G308" s="14"/>
      <c r="H308" s="14"/>
      <c r="I308" s="17">
        <v>0</v>
      </c>
      <c r="J308" s="17">
        <v>0</v>
      </c>
      <c r="K308" s="17">
        <v>0</v>
      </c>
    </row>
    <row r="309" spans="1:11" x14ac:dyDescent="0.25">
      <c r="A309" s="18">
        <v>42009</v>
      </c>
      <c r="B309" s="19" t="s">
        <v>203</v>
      </c>
      <c r="C309" s="14">
        <v>1500</v>
      </c>
      <c r="D309" s="14">
        <f>+E309/C309</f>
        <v>0.05</v>
      </c>
      <c r="E309" s="14">
        <v>75</v>
      </c>
      <c r="F309" s="14"/>
      <c r="G309" s="14"/>
      <c r="H309" s="14"/>
      <c r="I309" s="14">
        <f>+I308+C309</f>
        <v>1500</v>
      </c>
      <c r="J309" s="21">
        <f>+K309/I309</f>
        <v>0.05</v>
      </c>
      <c r="K309" s="21">
        <f>+K308+E309</f>
        <v>75</v>
      </c>
    </row>
    <row r="310" spans="1:11" x14ac:dyDescent="0.25">
      <c r="A310" s="106">
        <v>42278</v>
      </c>
      <c r="B310" s="63" t="s">
        <v>320</v>
      </c>
      <c r="C310" s="107"/>
      <c r="D310" s="107"/>
      <c r="E310" s="107"/>
      <c r="F310" s="107">
        <v>1</v>
      </c>
      <c r="G310" s="108">
        <f>+J309</f>
        <v>0.05</v>
      </c>
      <c r="H310" s="107">
        <f>+G310*F310</f>
        <v>0.05</v>
      </c>
      <c r="I310" s="107">
        <f>+I309-F310</f>
        <v>1499</v>
      </c>
      <c r="J310" s="108">
        <f>+K310/I310</f>
        <v>0.05</v>
      </c>
      <c r="K310" s="108">
        <f>+K309-H310</f>
        <v>74.95</v>
      </c>
    </row>
    <row r="311" spans="1:11" x14ac:dyDescent="0.25">
      <c r="A311" s="106">
        <v>42292</v>
      </c>
      <c r="B311" s="63" t="s">
        <v>350</v>
      </c>
      <c r="C311" s="107"/>
      <c r="D311" s="107"/>
      <c r="E311" s="107"/>
      <c r="F311" s="107">
        <v>1</v>
      </c>
      <c r="G311" s="108">
        <f>+J310</f>
        <v>0.05</v>
      </c>
      <c r="H311" s="107">
        <f>+G311*F311</f>
        <v>0.05</v>
      </c>
      <c r="I311" s="107">
        <f>+I310-F311</f>
        <v>1498</v>
      </c>
      <c r="J311" s="108">
        <f>+K311/I311</f>
        <v>0.05</v>
      </c>
      <c r="K311" s="108">
        <f>+K310-H311</f>
        <v>74.900000000000006</v>
      </c>
    </row>
    <row r="312" spans="1:11" x14ac:dyDescent="0.25">
      <c r="A312" s="106">
        <v>42298</v>
      </c>
      <c r="B312" s="63" t="s">
        <v>370</v>
      </c>
      <c r="C312" s="107"/>
      <c r="D312" s="107"/>
      <c r="E312" s="107"/>
      <c r="F312" s="107">
        <v>1</v>
      </c>
      <c r="G312" s="108">
        <f>+J311</f>
        <v>0.05</v>
      </c>
      <c r="H312" s="107">
        <f>+G312*F312</f>
        <v>0.05</v>
      </c>
      <c r="I312" s="107">
        <f>+I311-F312</f>
        <v>1497</v>
      </c>
      <c r="J312" s="108">
        <f>+K312/I312</f>
        <v>0.05</v>
      </c>
      <c r="K312" s="108">
        <f>+K311-H312</f>
        <v>74.850000000000009</v>
      </c>
    </row>
    <row r="313" spans="1:11" x14ac:dyDescent="0.25">
      <c r="A313" s="106">
        <v>42303</v>
      </c>
      <c r="B313" s="63" t="s">
        <v>387</v>
      </c>
      <c r="C313" s="107"/>
      <c r="D313" s="107"/>
      <c r="E313" s="107"/>
      <c r="F313" s="107">
        <v>1</v>
      </c>
      <c r="G313" s="108">
        <f>+J312</f>
        <v>0.05</v>
      </c>
      <c r="H313" s="107">
        <f>+G313*F313</f>
        <v>0.05</v>
      </c>
      <c r="I313" s="107">
        <f>+I312-F313</f>
        <v>1496</v>
      </c>
      <c r="J313" s="108">
        <f>+K313/I313</f>
        <v>5.000000000000001E-2</v>
      </c>
      <c r="K313" s="108">
        <f>+K312-H313</f>
        <v>74.800000000000011</v>
      </c>
    </row>
    <row r="314" spans="1:11" x14ac:dyDescent="0.25">
      <c r="A314" s="20"/>
      <c r="B314" s="123"/>
      <c r="C314" s="14"/>
      <c r="D314" s="14"/>
      <c r="E314" s="14"/>
      <c r="F314" s="14"/>
      <c r="G314" s="21"/>
      <c r="H314" s="21"/>
      <c r="I314" s="14"/>
      <c r="J314" s="21"/>
      <c r="K314" s="21"/>
    </row>
    <row r="315" spans="1:11" x14ac:dyDescent="0.25">
      <c r="A315" s="20"/>
      <c r="B315" s="123"/>
      <c r="C315" s="14"/>
      <c r="D315" s="14"/>
      <c r="E315" s="14"/>
      <c r="F315" s="14"/>
      <c r="G315" s="21"/>
      <c r="H315" s="21"/>
      <c r="I315" s="14"/>
      <c r="J315" s="21"/>
      <c r="K315" s="21"/>
    </row>
    <row r="316" spans="1:11" x14ac:dyDescent="0.25">
      <c r="A316" s="132"/>
      <c r="B316" s="141"/>
      <c r="C316" s="133"/>
      <c r="D316" s="133"/>
      <c r="E316" s="133"/>
      <c r="F316" s="133"/>
      <c r="G316" s="134"/>
      <c r="H316" s="134"/>
      <c r="I316" s="133"/>
      <c r="J316" s="134"/>
      <c r="K316" s="134"/>
    </row>
    <row r="319" spans="1:11" x14ac:dyDescent="0.25">
      <c r="A319" s="456" t="s">
        <v>10</v>
      </c>
      <c r="B319" s="456"/>
      <c r="C319" s="456"/>
      <c r="D319" s="456"/>
      <c r="E319" s="456"/>
      <c r="F319" s="456"/>
      <c r="G319" s="456"/>
      <c r="H319" s="456"/>
      <c r="I319" s="456"/>
      <c r="J319" s="456"/>
      <c r="K319" s="456"/>
    </row>
    <row r="320" spans="1:11" x14ac:dyDescent="0.25">
      <c r="A320" s="456" t="s">
        <v>11</v>
      </c>
      <c r="B320" s="456"/>
      <c r="C320" s="456"/>
      <c r="D320" s="456"/>
      <c r="E320" s="456"/>
      <c r="F320" s="456"/>
      <c r="G320" s="456"/>
      <c r="H320" s="456"/>
      <c r="I320" s="456"/>
      <c r="J320" s="456"/>
      <c r="K320" s="456"/>
    </row>
    <row r="321" spans="1:11" x14ac:dyDescent="0.25">
      <c r="A321" s="14" t="s">
        <v>8</v>
      </c>
      <c r="B321" s="458" t="s">
        <v>32</v>
      </c>
      <c r="C321" s="459"/>
      <c r="D321" s="459"/>
      <c r="E321" s="460"/>
      <c r="F321" s="15" t="s">
        <v>48</v>
      </c>
      <c r="G321" s="458" t="s">
        <v>49</v>
      </c>
      <c r="H321" s="459"/>
      <c r="I321" s="459"/>
      <c r="J321" s="459"/>
      <c r="K321" s="460"/>
    </row>
    <row r="322" spans="1:11" x14ac:dyDescent="0.25">
      <c r="A322" s="12" t="s">
        <v>9</v>
      </c>
      <c r="B322" s="457" t="s">
        <v>59</v>
      </c>
      <c r="C322" s="457"/>
      <c r="D322" s="457"/>
      <c r="E322" s="457"/>
      <c r="F322" s="16" t="s">
        <v>12</v>
      </c>
      <c r="G322" s="23" t="s">
        <v>63</v>
      </c>
      <c r="H322" s="23"/>
      <c r="I322" s="23"/>
      <c r="J322" s="23"/>
      <c r="K322" s="26"/>
    </row>
    <row r="323" spans="1:11" x14ac:dyDescent="0.25">
      <c r="A323" s="455" t="s">
        <v>0</v>
      </c>
      <c r="B323" s="455" t="s">
        <v>1</v>
      </c>
      <c r="C323" s="455" t="s">
        <v>2</v>
      </c>
      <c r="D323" s="455"/>
      <c r="E323" s="455"/>
      <c r="F323" s="455" t="s">
        <v>3</v>
      </c>
      <c r="G323" s="455"/>
      <c r="H323" s="455"/>
      <c r="I323" s="455" t="s">
        <v>4</v>
      </c>
      <c r="J323" s="455"/>
      <c r="K323" s="455"/>
    </row>
    <row r="324" spans="1:11" x14ac:dyDescent="0.25">
      <c r="A324" s="455"/>
      <c r="B324" s="455"/>
      <c r="C324" s="14" t="s">
        <v>5</v>
      </c>
      <c r="D324" s="14" t="s">
        <v>6</v>
      </c>
      <c r="E324" s="14" t="s">
        <v>7</v>
      </c>
      <c r="F324" s="14" t="s">
        <v>5</v>
      </c>
      <c r="G324" s="14" t="s">
        <v>6</v>
      </c>
      <c r="H324" s="14" t="s">
        <v>7</v>
      </c>
      <c r="I324" s="14" t="s">
        <v>5</v>
      </c>
      <c r="J324" s="14" t="s">
        <v>6</v>
      </c>
      <c r="K324" s="14" t="s">
        <v>7</v>
      </c>
    </row>
    <row r="325" spans="1:11" x14ac:dyDescent="0.25">
      <c r="A325" s="20"/>
      <c r="B325" s="17" t="s">
        <v>42</v>
      </c>
      <c r="C325" s="14"/>
      <c r="D325" s="14"/>
      <c r="E325" s="14"/>
      <c r="F325" s="14"/>
      <c r="G325" s="14"/>
      <c r="H325" s="14"/>
      <c r="I325" s="17">
        <v>0</v>
      </c>
      <c r="J325" s="17">
        <v>0</v>
      </c>
      <c r="K325" s="17">
        <v>0</v>
      </c>
    </row>
    <row r="326" spans="1:11" x14ac:dyDescent="0.25">
      <c r="A326" s="18">
        <v>42009</v>
      </c>
      <c r="B326" s="19" t="s">
        <v>203</v>
      </c>
      <c r="C326" s="14">
        <v>240</v>
      </c>
      <c r="D326" s="21">
        <f>+E326/C326</f>
        <v>3.8583333333333331E-2</v>
      </c>
      <c r="E326" s="14">
        <v>9.26</v>
      </c>
      <c r="F326" s="14"/>
      <c r="G326" s="14"/>
      <c r="H326" s="14"/>
      <c r="I326" s="14">
        <f>+I325+C326</f>
        <v>240</v>
      </c>
      <c r="J326" s="21">
        <f>+K326/I326</f>
        <v>3.8583333333333331E-2</v>
      </c>
      <c r="K326" s="21">
        <f>+K325+E326</f>
        <v>9.26</v>
      </c>
    </row>
    <row r="327" spans="1:11" x14ac:dyDescent="0.25">
      <c r="A327" s="20"/>
      <c r="B327" s="14"/>
      <c r="C327" s="14"/>
      <c r="D327" s="14"/>
      <c r="E327" s="14"/>
      <c r="F327" s="14"/>
      <c r="G327" s="21"/>
      <c r="H327" s="14"/>
      <c r="I327" s="14"/>
      <c r="J327" s="21"/>
      <c r="K327" s="21"/>
    </row>
    <row r="328" spans="1:11" x14ac:dyDescent="0.25">
      <c r="A328" s="20"/>
      <c r="B328" s="14"/>
      <c r="C328" s="14"/>
      <c r="D328" s="14"/>
      <c r="E328" s="14"/>
      <c r="F328" s="14"/>
      <c r="G328" s="21"/>
      <c r="H328" s="14"/>
      <c r="I328" s="14"/>
      <c r="J328" s="21"/>
      <c r="K328" s="21"/>
    </row>
    <row r="329" spans="1:11" x14ac:dyDescent="0.25">
      <c r="A329" s="20"/>
      <c r="B329" s="14"/>
      <c r="C329" s="14"/>
      <c r="D329" s="14"/>
      <c r="E329" s="14"/>
      <c r="F329" s="14"/>
      <c r="G329" s="21"/>
      <c r="H329" s="21"/>
      <c r="I329" s="14"/>
      <c r="J329" s="21"/>
      <c r="K329" s="21"/>
    </row>
    <row r="334" spans="1:11" x14ac:dyDescent="0.25">
      <c r="A334" s="456" t="s">
        <v>10</v>
      </c>
      <c r="B334" s="456"/>
      <c r="C334" s="456"/>
      <c r="D334" s="456"/>
      <c r="E334" s="456"/>
      <c r="F334" s="456"/>
      <c r="G334" s="456"/>
      <c r="H334" s="456"/>
      <c r="I334" s="456"/>
      <c r="J334" s="456"/>
      <c r="K334" s="456"/>
    </row>
    <row r="335" spans="1:11" x14ac:dyDescent="0.25">
      <c r="A335" s="456" t="s">
        <v>11</v>
      </c>
      <c r="B335" s="456"/>
      <c r="C335" s="456"/>
      <c r="D335" s="456"/>
      <c r="E335" s="456"/>
      <c r="F335" s="456"/>
      <c r="G335" s="456"/>
      <c r="H335" s="456"/>
      <c r="I335" s="456"/>
      <c r="J335" s="456"/>
      <c r="K335" s="456"/>
    </row>
    <row r="336" spans="1:11" x14ac:dyDescent="0.25">
      <c r="A336" s="14" t="s">
        <v>8</v>
      </c>
      <c r="B336" s="458" t="s">
        <v>33</v>
      </c>
      <c r="C336" s="459"/>
      <c r="D336" s="459"/>
      <c r="E336" s="460"/>
      <c r="F336" s="15" t="s">
        <v>48</v>
      </c>
      <c r="G336" s="458" t="s">
        <v>49</v>
      </c>
      <c r="H336" s="459"/>
      <c r="I336" s="459"/>
      <c r="J336" s="459"/>
      <c r="K336" s="460"/>
    </row>
    <row r="337" spans="1:11" x14ac:dyDescent="0.25">
      <c r="A337" s="12" t="s">
        <v>9</v>
      </c>
      <c r="B337" s="457" t="s">
        <v>44</v>
      </c>
      <c r="C337" s="457"/>
      <c r="D337" s="457"/>
      <c r="E337" s="457"/>
      <c r="F337" s="16" t="s">
        <v>12</v>
      </c>
      <c r="G337" s="458" t="s">
        <v>52</v>
      </c>
      <c r="H337" s="459"/>
      <c r="I337" s="459"/>
      <c r="J337" s="459"/>
      <c r="K337" s="460"/>
    </row>
    <row r="338" spans="1:11" x14ac:dyDescent="0.25">
      <c r="A338" s="455" t="s">
        <v>0</v>
      </c>
      <c r="B338" s="455" t="s">
        <v>1</v>
      </c>
      <c r="C338" s="455" t="s">
        <v>2</v>
      </c>
      <c r="D338" s="455"/>
      <c r="E338" s="455"/>
      <c r="F338" s="455" t="s">
        <v>3</v>
      </c>
      <c r="G338" s="455"/>
      <c r="H338" s="455"/>
      <c r="I338" s="455" t="s">
        <v>4</v>
      </c>
      <c r="J338" s="455"/>
      <c r="K338" s="455"/>
    </row>
    <row r="339" spans="1:11" x14ac:dyDescent="0.25">
      <c r="A339" s="455"/>
      <c r="B339" s="455"/>
      <c r="C339" s="14" t="s">
        <v>5</v>
      </c>
      <c r="D339" s="14" t="s">
        <v>6</v>
      </c>
      <c r="E339" s="14" t="s">
        <v>7</v>
      </c>
      <c r="F339" s="14" t="s">
        <v>5</v>
      </c>
      <c r="G339" s="14" t="s">
        <v>6</v>
      </c>
      <c r="H339" s="14" t="s">
        <v>7</v>
      </c>
      <c r="I339" s="14" t="s">
        <v>5</v>
      </c>
      <c r="J339" s="14" t="s">
        <v>6</v>
      </c>
      <c r="K339" s="14" t="s">
        <v>7</v>
      </c>
    </row>
    <row r="340" spans="1:11" x14ac:dyDescent="0.25">
      <c r="A340" s="20"/>
      <c r="B340" s="17" t="s">
        <v>42</v>
      </c>
      <c r="C340" s="14"/>
      <c r="D340" s="14"/>
      <c r="E340" s="14"/>
      <c r="F340" s="14"/>
      <c r="G340" s="14"/>
      <c r="H340" s="14"/>
      <c r="I340" s="17">
        <v>0</v>
      </c>
      <c r="J340" s="17">
        <v>0</v>
      </c>
      <c r="K340" s="17">
        <v>0</v>
      </c>
    </row>
    <row r="341" spans="1:11" x14ac:dyDescent="0.25">
      <c r="A341" s="18">
        <v>42009</v>
      </c>
      <c r="B341" s="19" t="s">
        <v>203</v>
      </c>
      <c r="C341" s="14">
        <v>1400</v>
      </c>
      <c r="D341" s="21">
        <f>+E341/C341</f>
        <v>4.4999999999999998E-2</v>
      </c>
      <c r="E341" s="14">
        <v>63</v>
      </c>
      <c r="F341" s="14"/>
      <c r="G341" s="14"/>
      <c r="H341" s="14"/>
      <c r="I341" s="14">
        <f>+C341</f>
        <v>1400</v>
      </c>
      <c r="J341" s="21">
        <f>+K341/I341</f>
        <v>4.4999999999999998E-2</v>
      </c>
      <c r="K341" s="21">
        <f>+K340+E341</f>
        <v>63</v>
      </c>
    </row>
    <row r="342" spans="1:11" x14ac:dyDescent="0.25">
      <c r="A342" s="106">
        <v>42283</v>
      </c>
      <c r="B342" s="63" t="s">
        <v>326</v>
      </c>
      <c r="C342" s="107"/>
      <c r="D342" s="107"/>
      <c r="E342" s="107"/>
      <c r="F342" s="107">
        <v>1</v>
      </c>
      <c r="G342" s="108">
        <f>+J341</f>
        <v>4.4999999999999998E-2</v>
      </c>
      <c r="H342" s="108">
        <f>+G342*F342</f>
        <v>4.4999999999999998E-2</v>
      </c>
      <c r="I342" s="107">
        <f>+I341-F342</f>
        <v>1399</v>
      </c>
      <c r="J342" s="108">
        <f>+K342/I342</f>
        <v>4.4999999999999998E-2</v>
      </c>
      <c r="K342" s="108">
        <f>+K341-H342</f>
        <v>62.954999999999998</v>
      </c>
    </row>
    <row r="343" spans="1:11" x14ac:dyDescent="0.25">
      <c r="A343" s="106">
        <v>42296</v>
      </c>
      <c r="B343" s="63" t="s">
        <v>359</v>
      </c>
      <c r="C343" s="107"/>
      <c r="D343" s="107"/>
      <c r="E343" s="107"/>
      <c r="F343" s="107">
        <v>1</v>
      </c>
      <c r="G343" s="108">
        <f>+J342</f>
        <v>4.4999999999999998E-2</v>
      </c>
      <c r="H343" s="108">
        <f>+G343*F343</f>
        <v>4.4999999999999998E-2</v>
      </c>
      <c r="I343" s="107">
        <f>+I342-F343</f>
        <v>1398</v>
      </c>
      <c r="J343" s="108">
        <f>+K343/I343</f>
        <v>4.4999999999999998E-2</v>
      </c>
      <c r="K343" s="108">
        <f>+K342-H343</f>
        <v>62.91</v>
      </c>
    </row>
    <row r="344" spans="1:11" x14ac:dyDescent="0.25">
      <c r="A344" s="106">
        <v>42299</v>
      </c>
      <c r="B344" s="63" t="s">
        <v>375</v>
      </c>
      <c r="C344" s="107"/>
      <c r="D344" s="107"/>
      <c r="E344" s="107"/>
      <c r="F344" s="107">
        <v>1</v>
      </c>
      <c r="G344" s="108">
        <f>+J343</f>
        <v>4.4999999999999998E-2</v>
      </c>
      <c r="H344" s="108">
        <f>+G344*F344</f>
        <v>4.4999999999999998E-2</v>
      </c>
      <c r="I344" s="107">
        <f>+I343-F344</f>
        <v>1397</v>
      </c>
      <c r="J344" s="108">
        <f>+K344/I344</f>
        <v>4.4999999999999998E-2</v>
      </c>
      <c r="K344" s="108">
        <f>+K343-H344</f>
        <v>62.864999999999995</v>
      </c>
    </row>
    <row r="345" spans="1:11" x14ac:dyDescent="0.25">
      <c r="A345" s="106">
        <v>42305</v>
      </c>
      <c r="B345" s="63" t="s">
        <v>395</v>
      </c>
      <c r="C345" s="107"/>
      <c r="D345" s="107"/>
      <c r="E345" s="107"/>
      <c r="F345" s="107">
        <v>1</v>
      </c>
      <c r="G345" s="108">
        <f>+J344</f>
        <v>4.4999999999999998E-2</v>
      </c>
      <c r="H345" s="108">
        <f>+G345*F345</f>
        <v>4.4999999999999998E-2</v>
      </c>
      <c r="I345" s="107">
        <f>+I344-F345</f>
        <v>1396</v>
      </c>
      <c r="J345" s="108">
        <f>+K345/I345</f>
        <v>4.4999999999999998E-2</v>
      </c>
      <c r="K345" s="108">
        <f>+K344-H345</f>
        <v>62.819999999999993</v>
      </c>
    </row>
    <row r="346" spans="1:11" x14ac:dyDescent="0.25">
      <c r="A346" s="20"/>
      <c r="B346" s="14"/>
      <c r="C346" s="14"/>
      <c r="D346" s="14"/>
      <c r="E346" s="14"/>
      <c r="F346" s="14"/>
      <c r="G346" s="21"/>
      <c r="H346" s="21"/>
      <c r="I346" s="14"/>
      <c r="J346" s="21"/>
      <c r="K346" s="21"/>
    </row>
    <row r="350" spans="1:11" x14ac:dyDescent="0.25">
      <c r="A350" s="456" t="s">
        <v>10</v>
      </c>
      <c r="B350" s="456"/>
      <c r="C350" s="456"/>
      <c r="D350" s="456"/>
      <c r="E350" s="456"/>
      <c r="F350" s="456"/>
      <c r="G350" s="456"/>
      <c r="H350" s="456"/>
      <c r="I350" s="456"/>
      <c r="J350" s="456"/>
      <c r="K350" s="456"/>
    </row>
    <row r="351" spans="1:11" x14ac:dyDescent="0.25">
      <c r="A351" s="456" t="s">
        <v>11</v>
      </c>
      <c r="B351" s="456"/>
      <c r="C351" s="456"/>
      <c r="D351" s="456"/>
      <c r="E351" s="456"/>
      <c r="F351" s="456"/>
      <c r="G351" s="456"/>
      <c r="H351" s="456"/>
      <c r="I351" s="456"/>
      <c r="J351" s="456"/>
      <c r="K351" s="456"/>
    </row>
    <row r="352" spans="1:11" x14ac:dyDescent="0.25">
      <c r="A352" s="14" t="s">
        <v>8</v>
      </c>
      <c r="B352" s="458" t="s">
        <v>34</v>
      </c>
      <c r="C352" s="459"/>
      <c r="D352" s="459"/>
      <c r="E352" s="460"/>
      <c r="F352" s="15" t="s">
        <v>48</v>
      </c>
      <c r="G352" s="458" t="s">
        <v>49</v>
      </c>
      <c r="H352" s="459"/>
      <c r="I352" s="459"/>
      <c r="J352" s="459"/>
      <c r="K352" s="460"/>
    </row>
    <row r="353" spans="1:11" x14ac:dyDescent="0.25">
      <c r="A353" s="12" t="s">
        <v>9</v>
      </c>
      <c r="B353" s="457" t="s">
        <v>58</v>
      </c>
      <c r="C353" s="457"/>
      <c r="D353" s="457"/>
      <c r="E353" s="457"/>
      <c r="F353" s="16" t="s">
        <v>12</v>
      </c>
      <c r="G353" s="458" t="s">
        <v>52</v>
      </c>
      <c r="H353" s="459"/>
      <c r="I353" s="459"/>
      <c r="J353" s="459"/>
      <c r="K353" s="460"/>
    </row>
    <row r="354" spans="1:11" x14ac:dyDescent="0.25">
      <c r="A354" s="455" t="s">
        <v>0</v>
      </c>
      <c r="B354" s="455" t="s">
        <v>1</v>
      </c>
      <c r="C354" s="455" t="s">
        <v>2</v>
      </c>
      <c r="D354" s="455"/>
      <c r="E354" s="455"/>
      <c r="F354" s="455" t="s">
        <v>3</v>
      </c>
      <c r="G354" s="455"/>
      <c r="H354" s="455"/>
      <c r="I354" s="455" t="s">
        <v>4</v>
      </c>
      <c r="J354" s="455"/>
      <c r="K354" s="455"/>
    </row>
    <row r="355" spans="1:11" x14ac:dyDescent="0.25">
      <c r="A355" s="455"/>
      <c r="B355" s="455"/>
      <c r="C355" s="14" t="s">
        <v>5</v>
      </c>
      <c r="D355" s="14" t="s">
        <v>6</v>
      </c>
      <c r="E355" s="14" t="s">
        <v>7</v>
      </c>
      <c r="F355" s="14" t="s">
        <v>5</v>
      </c>
      <c r="G355" s="14" t="s">
        <v>6</v>
      </c>
      <c r="H355" s="14" t="s">
        <v>7</v>
      </c>
      <c r="I355" s="14" t="s">
        <v>5</v>
      </c>
      <c r="J355" s="14" t="s">
        <v>6</v>
      </c>
      <c r="K355" s="14" t="s">
        <v>7</v>
      </c>
    </row>
    <row r="356" spans="1:11" x14ac:dyDescent="0.25">
      <c r="A356" s="20"/>
      <c r="B356" s="17" t="s">
        <v>42</v>
      </c>
      <c r="C356" s="14"/>
      <c r="D356" s="14"/>
      <c r="E356" s="14"/>
      <c r="F356" s="14"/>
      <c r="G356" s="14"/>
      <c r="H356" s="14"/>
      <c r="I356" s="17">
        <v>0</v>
      </c>
      <c r="J356" s="17">
        <v>0</v>
      </c>
      <c r="K356" s="17">
        <v>0</v>
      </c>
    </row>
    <row r="357" spans="1:11" x14ac:dyDescent="0.25">
      <c r="A357" s="18">
        <v>42009</v>
      </c>
      <c r="B357" s="19" t="s">
        <v>203</v>
      </c>
      <c r="C357" s="14">
        <v>100</v>
      </c>
      <c r="D357" s="14">
        <f>+E357/C357</f>
        <v>8.8499999999999995E-2</v>
      </c>
      <c r="E357" s="14">
        <v>8.85</v>
      </c>
      <c r="F357" s="14"/>
      <c r="G357" s="14"/>
      <c r="H357" s="14"/>
      <c r="I357" s="14">
        <f>+I356+C357</f>
        <v>100</v>
      </c>
      <c r="J357" s="24">
        <f>+K357/I357</f>
        <v>8.8499999999999995E-2</v>
      </c>
      <c r="K357" s="21">
        <f>+K356+E357</f>
        <v>8.85</v>
      </c>
    </row>
    <row r="358" spans="1:11" x14ac:dyDescent="0.25">
      <c r="A358" s="20"/>
      <c r="B358" s="14"/>
      <c r="C358" s="14"/>
      <c r="D358" s="14"/>
      <c r="E358" s="14"/>
      <c r="F358" s="14"/>
      <c r="G358" s="21"/>
      <c r="H358" s="14"/>
      <c r="I358" s="14"/>
      <c r="J358" s="21"/>
      <c r="K358" s="21"/>
    </row>
    <row r="359" spans="1:11" x14ac:dyDescent="0.25">
      <c r="A359" s="20"/>
      <c r="B359" s="14"/>
      <c r="C359" s="14"/>
      <c r="D359" s="14"/>
      <c r="E359" s="14"/>
      <c r="F359" s="14"/>
      <c r="G359" s="21"/>
      <c r="H359" s="14"/>
      <c r="I359" s="14"/>
      <c r="J359" s="21"/>
      <c r="K359" s="21"/>
    </row>
    <row r="360" spans="1:11" x14ac:dyDescent="0.25">
      <c r="A360" s="20"/>
      <c r="B360" s="14"/>
      <c r="C360" s="14"/>
      <c r="D360" s="14"/>
      <c r="E360" s="14"/>
      <c r="F360" s="14"/>
      <c r="G360" s="21"/>
      <c r="H360" s="21"/>
      <c r="I360" s="14"/>
      <c r="J360" s="21"/>
      <c r="K360" s="21"/>
    </row>
    <row r="363" spans="1:11" x14ac:dyDescent="0.25">
      <c r="A363" s="456" t="s">
        <v>10</v>
      </c>
      <c r="B363" s="456"/>
      <c r="C363" s="456"/>
      <c r="D363" s="456"/>
      <c r="E363" s="456"/>
      <c r="F363" s="456"/>
      <c r="G363" s="456"/>
      <c r="H363" s="456"/>
      <c r="I363" s="456"/>
      <c r="J363" s="456"/>
      <c r="K363" s="456"/>
    </row>
    <row r="364" spans="1:11" x14ac:dyDescent="0.25">
      <c r="A364" s="456" t="s">
        <v>11</v>
      </c>
      <c r="B364" s="456"/>
      <c r="C364" s="456"/>
      <c r="D364" s="456"/>
      <c r="E364" s="456"/>
      <c r="F364" s="456"/>
      <c r="G364" s="456"/>
      <c r="H364" s="456"/>
      <c r="I364" s="456"/>
      <c r="J364" s="456"/>
      <c r="K364" s="456"/>
    </row>
    <row r="365" spans="1:11" x14ac:dyDescent="0.25">
      <c r="A365" s="14" t="s">
        <v>8</v>
      </c>
      <c r="B365" s="458" t="s">
        <v>35</v>
      </c>
      <c r="C365" s="459"/>
      <c r="D365" s="459"/>
      <c r="E365" s="460"/>
      <c r="F365" s="15" t="s">
        <v>48</v>
      </c>
      <c r="G365" s="458" t="s">
        <v>49</v>
      </c>
      <c r="H365" s="459"/>
      <c r="I365" s="459"/>
      <c r="J365" s="459"/>
      <c r="K365" s="460"/>
    </row>
    <row r="366" spans="1:11" x14ac:dyDescent="0.25">
      <c r="A366" s="12" t="s">
        <v>9</v>
      </c>
      <c r="B366" s="457" t="s">
        <v>41</v>
      </c>
      <c r="C366" s="457"/>
      <c r="D366" s="457"/>
      <c r="E366" s="457"/>
      <c r="F366" s="16" t="s">
        <v>12</v>
      </c>
      <c r="G366" s="458" t="s">
        <v>52</v>
      </c>
      <c r="H366" s="459"/>
      <c r="I366" s="459"/>
      <c r="J366" s="459"/>
      <c r="K366" s="460"/>
    </row>
    <row r="367" spans="1:11" x14ac:dyDescent="0.25">
      <c r="A367" s="455" t="s">
        <v>0</v>
      </c>
      <c r="B367" s="455" t="s">
        <v>1</v>
      </c>
      <c r="C367" s="455" t="s">
        <v>2</v>
      </c>
      <c r="D367" s="455"/>
      <c r="E367" s="455"/>
      <c r="F367" s="455" t="s">
        <v>3</v>
      </c>
      <c r="G367" s="455"/>
      <c r="H367" s="455"/>
      <c r="I367" s="455" t="s">
        <v>4</v>
      </c>
      <c r="J367" s="455"/>
      <c r="K367" s="455"/>
    </row>
    <row r="368" spans="1:11" x14ac:dyDescent="0.25">
      <c r="A368" s="455"/>
      <c r="B368" s="455"/>
      <c r="C368" s="14" t="s">
        <v>5</v>
      </c>
      <c r="D368" s="14" t="s">
        <v>6</v>
      </c>
      <c r="E368" s="14" t="s">
        <v>7</v>
      </c>
      <c r="F368" s="14" t="s">
        <v>5</v>
      </c>
      <c r="G368" s="14" t="s">
        <v>6</v>
      </c>
      <c r="H368" s="14" t="s">
        <v>7</v>
      </c>
      <c r="I368" s="14" t="s">
        <v>5</v>
      </c>
      <c r="J368" s="14" t="s">
        <v>6</v>
      </c>
      <c r="K368" s="14" t="s">
        <v>7</v>
      </c>
    </row>
    <row r="369" spans="1:11" x14ac:dyDescent="0.25">
      <c r="A369" s="20"/>
      <c r="B369" s="17" t="s">
        <v>42</v>
      </c>
      <c r="C369" s="14"/>
      <c r="D369" s="14"/>
      <c r="E369" s="14"/>
      <c r="F369" s="14"/>
      <c r="G369" s="14"/>
      <c r="H369" s="14"/>
      <c r="I369" s="17">
        <v>0</v>
      </c>
      <c r="J369" s="17">
        <v>0</v>
      </c>
      <c r="K369" s="17">
        <v>0</v>
      </c>
    </row>
    <row r="370" spans="1:11" x14ac:dyDescent="0.25">
      <c r="A370" s="18">
        <v>42009</v>
      </c>
      <c r="B370" s="19" t="s">
        <v>203</v>
      </c>
      <c r="C370" s="14">
        <v>5200</v>
      </c>
      <c r="D370" s="21">
        <f>+E370/C370</f>
        <v>3.0999999999999996E-2</v>
      </c>
      <c r="E370" s="14">
        <v>161.19999999999999</v>
      </c>
      <c r="F370" s="14"/>
      <c r="G370" s="14"/>
      <c r="H370" s="14"/>
      <c r="I370" s="14">
        <f>+I369+C370</f>
        <v>5200</v>
      </c>
      <c r="J370" s="21">
        <f t="shared" ref="J370:J375" si="42">+K370/I370</f>
        <v>3.0999999999999996E-2</v>
      </c>
      <c r="K370" s="21">
        <f>+K369+E370</f>
        <v>161.19999999999999</v>
      </c>
    </row>
    <row r="371" spans="1:11" x14ac:dyDescent="0.25">
      <c r="A371" s="106">
        <v>42284</v>
      </c>
      <c r="B371" s="107" t="s">
        <v>330</v>
      </c>
      <c r="C371" s="107"/>
      <c r="D371" s="107"/>
      <c r="E371" s="107"/>
      <c r="F371" s="107">
        <v>1</v>
      </c>
      <c r="G371" s="108">
        <f>+J370</f>
        <v>3.0999999999999996E-2</v>
      </c>
      <c r="H371" s="108">
        <f>+G371*F371</f>
        <v>3.0999999999999996E-2</v>
      </c>
      <c r="I371" s="107">
        <f>+I370-F371</f>
        <v>5199</v>
      </c>
      <c r="J371" s="108">
        <f t="shared" si="42"/>
        <v>3.0999999999999996E-2</v>
      </c>
      <c r="K371" s="108">
        <f>+K370-H371</f>
        <v>161.16899999999998</v>
      </c>
    </row>
    <row r="372" spans="1:11" x14ac:dyDescent="0.25">
      <c r="A372" s="106">
        <v>42289</v>
      </c>
      <c r="B372" s="107" t="s">
        <v>334</v>
      </c>
      <c r="C372" s="107"/>
      <c r="D372" s="107"/>
      <c r="E372" s="107"/>
      <c r="F372" s="107">
        <v>1</v>
      </c>
      <c r="G372" s="108">
        <f>+J371</f>
        <v>3.0999999999999996E-2</v>
      </c>
      <c r="H372" s="108">
        <f>+G372*F372</f>
        <v>3.0999999999999996E-2</v>
      </c>
      <c r="I372" s="107">
        <f>+I371-F372</f>
        <v>5198</v>
      </c>
      <c r="J372" s="108">
        <f t="shared" si="42"/>
        <v>3.0999999999999996E-2</v>
      </c>
      <c r="K372" s="108">
        <f>+K371-H372</f>
        <v>161.13799999999998</v>
      </c>
    </row>
    <row r="373" spans="1:11" x14ac:dyDescent="0.25">
      <c r="A373" s="106">
        <v>42290</v>
      </c>
      <c r="B373" s="107" t="s">
        <v>343</v>
      </c>
      <c r="C373" s="107"/>
      <c r="D373" s="107"/>
      <c r="E373" s="107"/>
      <c r="F373" s="107">
        <v>1</v>
      </c>
      <c r="G373" s="108">
        <f>+J372</f>
        <v>3.0999999999999996E-2</v>
      </c>
      <c r="H373" s="108">
        <f>+G373*F373</f>
        <v>3.0999999999999996E-2</v>
      </c>
      <c r="I373" s="107">
        <f>+I372-F373</f>
        <v>5197</v>
      </c>
      <c r="J373" s="108">
        <f t="shared" si="42"/>
        <v>3.0999999999999993E-2</v>
      </c>
      <c r="K373" s="108">
        <f>+K372-H373</f>
        <v>161.10699999999997</v>
      </c>
    </row>
    <row r="374" spans="1:11" x14ac:dyDescent="0.25">
      <c r="A374" s="122">
        <v>42293</v>
      </c>
      <c r="B374" s="107" t="s">
        <v>354</v>
      </c>
      <c r="C374" s="68"/>
      <c r="D374" s="69"/>
      <c r="E374" s="68"/>
      <c r="F374" s="68">
        <v>1</v>
      </c>
      <c r="G374" s="69">
        <f>+J373</f>
        <v>3.0999999999999993E-2</v>
      </c>
      <c r="H374" s="69">
        <f>+G374*F374</f>
        <v>3.0999999999999993E-2</v>
      </c>
      <c r="I374" s="107">
        <f>+I373-F374</f>
        <v>5196</v>
      </c>
      <c r="J374" s="108">
        <f t="shared" si="42"/>
        <v>3.0999999999999993E-2</v>
      </c>
      <c r="K374" s="108">
        <f>+K373-H374</f>
        <v>161.07599999999996</v>
      </c>
    </row>
    <row r="375" spans="1:11" x14ac:dyDescent="0.25">
      <c r="A375" s="106">
        <v>42300</v>
      </c>
      <c r="B375" s="107" t="s">
        <v>380</v>
      </c>
      <c r="C375" s="148"/>
      <c r="D375" s="148"/>
      <c r="E375" s="148"/>
      <c r="F375" s="148">
        <v>1</v>
      </c>
      <c r="G375" s="69">
        <f>+J374</f>
        <v>3.0999999999999993E-2</v>
      </c>
      <c r="H375" s="69">
        <f>+G375*F375</f>
        <v>3.0999999999999993E-2</v>
      </c>
      <c r="I375" s="107">
        <f>+I374-F375</f>
        <v>5195</v>
      </c>
      <c r="J375" s="108">
        <f t="shared" si="42"/>
        <v>3.0999999999999993E-2</v>
      </c>
      <c r="K375" s="108">
        <f>+K374-H375</f>
        <v>161.04499999999996</v>
      </c>
    </row>
    <row r="379" spans="1:11" x14ac:dyDescent="0.25">
      <c r="A379" s="456" t="s">
        <v>10</v>
      </c>
      <c r="B379" s="456"/>
      <c r="C379" s="456"/>
      <c r="D379" s="456"/>
      <c r="E379" s="456"/>
      <c r="F379" s="456"/>
      <c r="G379" s="456"/>
      <c r="H379" s="456"/>
      <c r="I379" s="456"/>
      <c r="J379" s="456"/>
      <c r="K379" s="456"/>
    </row>
    <row r="380" spans="1:11" x14ac:dyDescent="0.25">
      <c r="A380" s="456" t="s">
        <v>11</v>
      </c>
      <c r="B380" s="456"/>
      <c r="C380" s="456"/>
      <c r="D380" s="456"/>
      <c r="E380" s="456"/>
      <c r="F380" s="456"/>
      <c r="G380" s="456"/>
      <c r="H380" s="456"/>
      <c r="I380" s="456"/>
      <c r="J380" s="456"/>
      <c r="K380" s="456"/>
    </row>
    <row r="381" spans="1:11" x14ac:dyDescent="0.25">
      <c r="A381" s="14" t="s">
        <v>8</v>
      </c>
      <c r="B381" s="458" t="s">
        <v>36</v>
      </c>
      <c r="C381" s="459"/>
      <c r="D381" s="459"/>
      <c r="E381" s="460"/>
      <c r="F381" s="15" t="s">
        <v>48</v>
      </c>
      <c r="G381" s="458" t="s">
        <v>49</v>
      </c>
      <c r="H381" s="459"/>
      <c r="I381" s="459"/>
      <c r="J381" s="459"/>
      <c r="K381" s="460"/>
    </row>
    <row r="382" spans="1:11" x14ac:dyDescent="0.25">
      <c r="A382" s="12" t="s">
        <v>9</v>
      </c>
      <c r="B382" s="457" t="s">
        <v>44</v>
      </c>
      <c r="C382" s="457"/>
      <c r="D382" s="457"/>
      <c r="E382" s="457"/>
      <c r="F382" s="16" t="s">
        <v>12</v>
      </c>
      <c r="G382" s="458" t="s">
        <v>52</v>
      </c>
      <c r="H382" s="459"/>
      <c r="I382" s="459"/>
      <c r="J382" s="459"/>
      <c r="K382" s="460"/>
    </row>
    <row r="383" spans="1:11" x14ac:dyDescent="0.25">
      <c r="A383" s="455" t="s">
        <v>0</v>
      </c>
      <c r="B383" s="455" t="s">
        <v>1</v>
      </c>
      <c r="C383" s="455" t="s">
        <v>2</v>
      </c>
      <c r="D383" s="455"/>
      <c r="E383" s="455"/>
      <c r="F383" s="455" t="s">
        <v>3</v>
      </c>
      <c r="G383" s="455"/>
      <c r="H383" s="455"/>
      <c r="I383" s="455" t="s">
        <v>4</v>
      </c>
      <c r="J383" s="455"/>
      <c r="K383" s="455"/>
    </row>
    <row r="384" spans="1:11" x14ac:dyDescent="0.25">
      <c r="A384" s="455"/>
      <c r="B384" s="455"/>
      <c r="C384" s="14" t="s">
        <v>5</v>
      </c>
      <c r="D384" s="14" t="s">
        <v>6</v>
      </c>
      <c r="E384" s="14" t="s">
        <v>7</v>
      </c>
      <c r="F384" s="14" t="s">
        <v>5</v>
      </c>
      <c r="G384" s="14" t="s">
        <v>6</v>
      </c>
      <c r="H384" s="14" t="s">
        <v>7</v>
      </c>
      <c r="I384" s="14" t="s">
        <v>5</v>
      </c>
      <c r="J384" s="14" t="s">
        <v>6</v>
      </c>
      <c r="K384" s="14" t="s">
        <v>7</v>
      </c>
    </row>
    <row r="385" spans="1:11" x14ac:dyDescent="0.25">
      <c r="A385" s="20"/>
      <c r="B385" s="17" t="s">
        <v>42</v>
      </c>
      <c r="C385" s="14"/>
      <c r="D385" s="14"/>
      <c r="E385" s="14"/>
      <c r="F385" s="14"/>
      <c r="G385" s="14"/>
      <c r="H385" s="14"/>
      <c r="I385" s="17">
        <v>0</v>
      </c>
      <c r="J385" s="17">
        <v>0</v>
      </c>
      <c r="K385" s="17">
        <v>0</v>
      </c>
    </row>
    <row r="386" spans="1:11" x14ac:dyDescent="0.25">
      <c r="A386" s="18">
        <v>42009</v>
      </c>
      <c r="B386" s="19" t="s">
        <v>203</v>
      </c>
      <c r="C386" s="14">
        <v>100</v>
      </c>
      <c r="D386" s="21">
        <f>+E386/C386</f>
        <v>7.9399999999999998E-2</v>
      </c>
      <c r="E386" s="14">
        <v>7.94</v>
      </c>
      <c r="F386" s="14"/>
      <c r="G386" s="14"/>
      <c r="H386" s="14"/>
      <c r="I386" s="14">
        <f>+I385+C386</f>
        <v>100</v>
      </c>
      <c r="J386" s="22">
        <f>+K386/I386</f>
        <v>7.9399999999999998E-2</v>
      </c>
      <c r="K386" s="21">
        <f>+K385+E386</f>
        <v>7.94</v>
      </c>
    </row>
    <row r="387" spans="1:11" x14ac:dyDescent="0.25">
      <c r="A387" s="20"/>
      <c r="B387" s="14"/>
      <c r="C387" s="14"/>
      <c r="D387" s="14"/>
      <c r="E387" s="14"/>
      <c r="F387" s="14"/>
      <c r="G387" s="21"/>
      <c r="H387" s="14"/>
      <c r="I387" s="14"/>
      <c r="J387" s="21"/>
      <c r="K387" s="21"/>
    </row>
    <row r="388" spans="1:11" x14ac:dyDescent="0.25">
      <c r="A388" s="20"/>
      <c r="B388" s="14"/>
      <c r="C388" s="14"/>
      <c r="D388" s="14"/>
      <c r="E388" s="14"/>
      <c r="F388" s="14"/>
      <c r="G388" s="21"/>
      <c r="H388" s="14"/>
      <c r="I388" s="14"/>
      <c r="J388" s="21"/>
      <c r="K388" s="21"/>
    </row>
    <row r="389" spans="1:11" x14ac:dyDescent="0.25">
      <c r="A389" s="20"/>
      <c r="B389" s="14"/>
      <c r="C389" s="14"/>
      <c r="D389" s="14"/>
      <c r="E389" s="14"/>
      <c r="F389" s="14"/>
      <c r="G389" s="21"/>
      <c r="H389" s="21"/>
      <c r="I389" s="14"/>
      <c r="J389" s="21"/>
      <c r="K389" s="21"/>
    </row>
    <row r="393" spans="1:11" x14ac:dyDescent="0.25">
      <c r="A393" s="456" t="s">
        <v>10</v>
      </c>
      <c r="B393" s="456"/>
      <c r="C393" s="456"/>
      <c r="D393" s="456"/>
      <c r="E393" s="456"/>
      <c r="F393" s="456"/>
      <c r="G393" s="456"/>
      <c r="H393" s="456"/>
      <c r="I393" s="456"/>
      <c r="J393" s="456"/>
      <c r="K393" s="456"/>
    </row>
    <row r="394" spans="1:11" x14ac:dyDescent="0.25">
      <c r="A394" s="456" t="s">
        <v>11</v>
      </c>
      <c r="B394" s="456"/>
      <c r="C394" s="456"/>
      <c r="D394" s="456"/>
      <c r="E394" s="456"/>
      <c r="F394" s="456"/>
      <c r="G394" s="456"/>
      <c r="H394" s="456"/>
      <c r="I394" s="456"/>
      <c r="J394" s="456"/>
      <c r="K394" s="456"/>
    </row>
    <row r="395" spans="1:11" x14ac:dyDescent="0.25">
      <c r="A395" s="14" t="s">
        <v>8</v>
      </c>
      <c r="B395" s="458" t="s">
        <v>37</v>
      </c>
      <c r="C395" s="459"/>
      <c r="D395" s="459"/>
      <c r="E395" s="460"/>
      <c r="F395" s="15" t="s">
        <v>48</v>
      </c>
      <c r="G395" s="458" t="s">
        <v>49</v>
      </c>
      <c r="H395" s="459"/>
      <c r="I395" s="459"/>
      <c r="J395" s="459"/>
      <c r="K395" s="460"/>
    </row>
    <row r="396" spans="1:11" x14ac:dyDescent="0.25">
      <c r="A396" s="12" t="s">
        <v>9</v>
      </c>
      <c r="B396" s="457" t="s">
        <v>64</v>
      </c>
      <c r="C396" s="457"/>
      <c r="D396" s="457"/>
      <c r="E396" s="457"/>
      <c r="F396" s="16" t="s">
        <v>12</v>
      </c>
      <c r="G396" s="458" t="s">
        <v>52</v>
      </c>
      <c r="H396" s="459"/>
      <c r="I396" s="459"/>
      <c r="J396" s="459"/>
      <c r="K396" s="460"/>
    </row>
    <row r="397" spans="1:11" x14ac:dyDescent="0.25">
      <c r="A397" s="455" t="s">
        <v>0</v>
      </c>
      <c r="B397" s="455" t="s">
        <v>1</v>
      </c>
      <c r="C397" s="455" t="s">
        <v>2</v>
      </c>
      <c r="D397" s="455"/>
      <c r="E397" s="455"/>
      <c r="F397" s="455" t="s">
        <v>3</v>
      </c>
      <c r="G397" s="455"/>
      <c r="H397" s="455"/>
      <c r="I397" s="455" t="s">
        <v>4</v>
      </c>
      <c r="J397" s="455"/>
      <c r="K397" s="455"/>
    </row>
    <row r="398" spans="1:11" x14ac:dyDescent="0.25">
      <c r="A398" s="455"/>
      <c r="B398" s="455"/>
      <c r="C398" s="14" t="s">
        <v>5</v>
      </c>
      <c r="D398" s="14" t="s">
        <v>6</v>
      </c>
      <c r="E398" s="14" t="s">
        <v>7</v>
      </c>
      <c r="F398" s="14" t="s">
        <v>5</v>
      </c>
      <c r="G398" s="14" t="s">
        <v>6</v>
      </c>
      <c r="H398" s="14" t="s">
        <v>7</v>
      </c>
      <c r="I398" s="14" t="s">
        <v>5</v>
      </c>
      <c r="J398" s="14" t="s">
        <v>6</v>
      </c>
      <c r="K398" s="14" t="s">
        <v>7</v>
      </c>
    </row>
    <row r="399" spans="1:11" x14ac:dyDescent="0.25">
      <c r="A399" s="20"/>
      <c r="B399" s="17" t="s">
        <v>42</v>
      </c>
      <c r="C399" s="14"/>
      <c r="D399" s="14"/>
      <c r="E399" s="14"/>
      <c r="F399" s="14"/>
      <c r="G399" s="14"/>
      <c r="H399" s="14"/>
      <c r="I399" s="17">
        <v>0</v>
      </c>
      <c r="J399" s="17">
        <v>0</v>
      </c>
      <c r="K399" s="17">
        <v>0</v>
      </c>
    </row>
    <row r="400" spans="1:11" x14ac:dyDescent="0.25">
      <c r="A400" s="18">
        <v>42009</v>
      </c>
      <c r="B400" s="19" t="s">
        <v>203</v>
      </c>
      <c r="C400" s="14">
        <v>100</v>
      </c>
      <c r="D400" s="14">
        <f>+E400/C400</f>
        <v>7.0000000000000007E-2</v>
      </c>
      <c r="E400" s="14">
        <v>7</v>
      </c>
      <c r="F400" s="14"/>
      <c r="G400" s="14"/>
      <c r="H400" s="14"/>
      <c r="I400" s="14">
        <f>+I399+C400</f>
        <v>100</v>
      </c>
      <c r="J400" s="21">
        <f>+K400/I400</f>
        <v>7.0000000000000007E-2</v>
      </c>
      <c r="K400" s="21">
        <f>+K399+E400</f>
        <v>7</v>
      </c>
    </row>
    <row r="401" spans="1:11" x14ac:dyDescent="0.25">
      <c r="A401" s="20"/>
      <c r="B401" s="14"/>
      <c r="C401" s="14"/>
      <c r="D401" s="14"/>
      <c r="E401" s="14"/>
      <c r="F401" s="14"/>
      <c r="G401" s="21"/>
      <c r="H401" s="14"/>
      <c r="I401" s="14"/>
      <c r="J401" s="21"/>
      <c r="K401" s="21"/>
    </row>
    <row r="402" spans="1:11" x14ac:dyDescent="0.25">
      <c r="A402" s="20"/>
      <c r="B402" s="14"/>
      <c r="C402" s="14"/>
      <c r="D402" s="14"/>
      <c r="E402" s="14"/>
      <c r="F402" s="14"/>
      <c r="G402" s="21"/>
      <c r="H402" s="14"/>
      <c r="I402" s="14"/>
      <c r="J402" s="21"/>
      <c r="K402" s="21"/>
    </row>
    <row r="403" spans="1:11" x14ac:dyDescent="0.25">
      <c r="A403" s="20"/>
      <c r="B403" s="14"/>
      <c r="C403" s="14"/>
      <c r="D403" s="14"/>
      <c r="E403" s="14"/>
      <c r="F403" s="14"/>
      <c r="G403" s="21"/>
      <c r="H403" s="21"/>
      <c r="I403" s="14"/>
      <c r="J403" s="21"/>
      <c r="K403" s="21"/>
    </row>
    <row r="406" spans="1:11" x14ac:dyDescent="0.25">
      <c r="A406" s="456" t="s">
        <v>10</v>
      </c>
      <c r="B406" s="456"/>
      <c r="C406" s="456"/>
      <c r="D406" s="456"/>
      <c r="E406" s="456"/>
      <c r="F406" s="456"/>
      <c r="G406" s="456"/>
      <c r="H406" s="456"/>
      <c r="I406" s="456"/>
      <c r="J406" s="456"/>
      <c r="K406" s="456"/>
    </row>
    <row r="407" spans="1:11" x14ac:dyDescent="0.25">
      <c r="A407" s="456" t="s">
        <v>11</v>
      </c>
      <c r="B407" s="456"/>
      <c r="C407" s="456"/>
      <c r="D407" s="456"/>
      <c r="E407" s="456"/>
      <c r="F407" s="456"/>
      <c r="G407" s="456"/>
      <c r="H407" s="456"/>
      <c r="I407" s="456"/>
      <c r="J407" s="456"/>
      <c r="K407" s="456"/>
    </row>
    <row r="408" spans="1:11" x14ac:dyDescent="0.25">
      <c r="A408" s="14" t="s">
        <v>8</v>
      </c>
      <c r="B408" s="458" t="s">
        <v>38</v>
      </c>
      <c r="C408" s="459"/>
      <c r="D408" s="459"/>
      <c r="E408" s="460"/>
      <c r="F408" s="15" t="s">
        <v>48</v>
      </c>
      <c r="G408" s="458" t="s">
        <v>49</v>
      </c>
      <c r="H408" s="459"/>
      <c r="I408" s="459"/>
      <c r="J408" s="459"/>
      <c r="K408" s="460"/>
    </row>
    <row r="409" spans="1:11" x14ac:dyDescent="0.25">
      <c r="A409" s="12" t="s">
        <v>9</v>
      </c>
      <c r="B409" s="457" t="s">
        <v>64</v>
      </c>
      <c r="C409" s="457"/>
      <c r="D409" s="457"/>
      <c r="E409" s="457"/>
      <c r="F409" s="16" t="s">
        <v>12</v>
      </c>
      <c r="G409" s="458" t="s">
        <v>52</v>
      </c>
      <c r="H409" s="459"/>
      <c r="I409" s="459"/>
      <c r="J409" s="459"/>
      <c r="K409" s="460"/>
    </row>
    <row r="410" spans="1:11" x14ac:dyDescent="0.25">
      <c r="A410" s="455" t="s">
        <v>0</v>
      </c>
      <c r="B410" s="455" t="s">
        <v>1</v>
      </c>
      <c r="C410" s="455" t="s">
        <v>2</v>
      </c>
      <c r="D410" s="455"/>
      <c r="E410" s="455"/>
      <c r="F410" s="455" t="s">
        <v>3</v>
      </c>
      <c r="G410" s="455"/>
      <c r="H410" s="455"/>
      <c r="I410" s="455" t="s">
        <v>4</v>
      </c>
      <c r="J410" s="455"/>
      <c r="K410" s="455"/>
    </row>
    <row r="411" spans="1:11" x14ac:dyDescent="0.25">
      <c r="A411" s="455"/>
      <c r="B411" s="455"/>
      <c r="C411" s="14" t="s">
        <v>5</v>
      </c>
      <c r="D411" s="14" t="s">
        <v>6</v>
      </c>
      <c r="E411" s="14" t="s">
        <v>7</v>
      </c>
      <c r="F411" s="14" t="s">
        <v>5</v>
      </c>
      <c r="G411" s="14" t="s">
        <v>6</v>
      </c>
      <c r="H411" s="14" t="s">
        <v>7</v>
      </c>
      <c r="I411" s="14" t="s">
        <v>5</v>
      </c>
      <c r="J411" s="14" t="s">
        <v>6</v>
      </c>
      <c r="K411" s="14" t="s">
        <v>7</v>
      </c>
    </row>
    <row r="412" spans="1:11" x14ac:dyDescent="0.25">
      <c r="A412" s="20"/>
      <c r="B412" s="17" t="s">
        <v>42</v>
      </c>
      <c r="C412" s="14"/>
      <c r="D412" s="14"/>
      <c r="E412" s="14"/>
      <c r="F412" s="14"/>
      <c r="G412" s="14"/>
      <c r="H412" s="14"/>
      <c r="I412" s="17">
        <v>0</v>
      </c>
      <c r="J412" s="17">
        <v>0</v>
      </c>
      <c r="K412" s="17">
        <v>0</v>
      </c>
    </row>
    <row r="413" spans="1:11" x14ac:dyDescent="0.25">
      <c r="A413" s="18">
        <v>42009</v>
      </c>
      <c r="B413" s="19" t="s">
        <v>203</v>
      </c>
      <c r="C413" s="14">
        <v>100</v>
      </c>
      <c r="D413" s="14">
        <f>+E413/C413</f>
        <v>0.08</v>
      </c>
      <c r="E413" s="14">
        <v>8</v>
      </c>
      <c r="F413" s="14"/>
      <c r="G413" s="14"/>
      <c r="H413" s="14"/>
      <c r="I413" s="14">
        <f>+I412+C413</f>
        <v>100</v>
      </c>
      <c r="J413" s="21">
        <f>+K413/I413</f>
        <v>0.08</v>
      </c>
      <c r="K413" s="21">
        <f>+K412+E413</f>
        <v>8</v>
      </c>
    </row>
    <row r="414" spans="1:11" x14ac:dyDescent="0.25">
      <c r="A414" s="20"/>
      <c r="B414" s="14"/>
      <c r="C414" s="14"/>
      <c r="D414" s="14"/>
      <c r="E414" s="14"/>
      <c r="F414" s="14"/>
      <c r="G414" s="21"/>
      <c r="H414" s="14"/>
      <c r="I414" s="14"/>
      <c r="J414" s="21"/>
      <c r="K414" s="21"/>
    </row>
    <row r="415" spans="1:11" x14ac:dyDescent="0.25">
      <c r="A415" s="20"/>
      <c r="B415" s="14"/>
      <c r="C415" s="14"/>
      <c r="D415" s="14"/>
      <c r="E415" s="14"/>
      <c r="F415" s="14"/>
      <c r="G415" s="21"/>
      <c r="H415" s="14"/>
      <c r="I415" s="14"/>
      <c r="J415" s="21"/>
      <c r="K415" s="21"/>
    </row>
    <row r="416" spans="1:11" x14ac:dyDescent="0.25">
      <c r="A416" s="20"/>
      <c r="B416" s="14"/>
      <c r="C416" s="14"/>
      <c r="D416" s="14"/>
      <c r="E416" s="14"/>
      <c r="F416" s="14"/>
      <c r="G416" s="21"/>
      <c r="H416" s="21"/>
      <c r="I416" s="14"/>
      <c r="J416" s="21"/>
      <c r="K416" s="21"/>
    </row>
    <row r="419" spans="1:11" x14ac:dyDescent="0.25">
      <c r="A419" s="456" t="s">
        <v>10</v>
      </c>
      <c r="B419" s="456"/>
      <c r="C419" s="456"/>
      <c r="D419" s="456"/>
      <c r="E419" s="456"/>
      <c r="F419" s="456"/>
      <c r="G419" s="456"/>
      <c r="H419" s="456"/>
      <c r="I419" s="456"/>
      <c r="J419" s="456"/>
      <c r="K419" s="456"/>
    </row>
    <row r="420" spans="1:11" x14ac:dyDescent="0.25">
      <c r="A420" s="456" t="s">
        <v>11</v>
      </c>
      <c r="B420" s="456"/>
      <c r="C420" s="456"/>
      <c r="D420" s="456"/>
      <c r="E420" s="456"/>
      <c r="F420" s="456"/>
      <c r="G420" s="456"/>
      <c r="H420" s="456"/>
      <c r="I420" s="456"/>
      <c r="J420" s="456"/>
      <c r="K420" s="456"/>
    </row>
    <row r="421" spans="1:11" x14ac:dyDescent="0.25">
      <c r="A421" s="14" t="s">
        <v>8</v>
      </c>
      <c r="B421" s="458" t="s">
        <v>39</v>
      </c>
      <c r="C421" s="459"/>
      <c r="D421" s="459"/>
      <c r="E421" s="460"/>
      <c r="F421" s="15" t="s">
        <v>48</v>
      </c>
      <c r="G421" s="458" t="s">
        <v>49</v>
      </c>
      <c r="H421" s="459"/>
      <c r="I421" s="459"/>
      <c r="J421" s="459"/>
      <c r="K421" s="460"/>
    </row>
    <row r="422" spans="1:11" x14ac:dyDescent="0.25">
      <c r="A422" s="12" t="s">
        <v>9</v>
      </c>
      <c r="B422" s="457" t="s">
        <v>46</v>
      </c>
      <c r="C422" s="457"/>
      <c r="D422" s="457"/>
      <c r="E422" s="457"/>
      <c r="F422" s="16" t="s">
        <v>12</v>
      </c>
      <c r="G422" s="458" t="s">
        <v>56</v>
      </c>
      <c r="H422" s="459"/>
      <c r="I422" s="459"/>
      <c r="J422" s="459"/>
      <c r="K422" s="460"/>
    </row>
    <row r="423" spans="1:11" x14ac:dyDescent="0.25">
      <c r="A423" s="455" t="s">
        <v>0</v>
      </c>
      <c r="B423" s="455" t="s">
        <v>1</v>
      </c>
      <c r="C423" s="455" t="s">
        <v>2</v>
      </c>
      <c r="D423" s="455"/>
      <c r="E423" s="455"/>
      <c r="F423" s="455" t="s">
        <v>3</v>
      </c>
      <c r="G423" s="455"/>
      <c r="H423" s="455"/>
      <c r="I423" s="455" t="s">
        <v>4</v>
      </c>
      <c r="J423" s="455"/>
      <c r="K423" s="455"/>
    </row>
    <row r="424" spans="1:11" x14ac:dyDescent="0.25">
      <c r="A424" s="455"/>
      <c r="B424" s="455"/>
      <c r="C424" s="14" t="s">
        <v>5</v>
      </c>
      <c r="D424" s="14" t="s">
        <v>6</v>
      </c>
      <c r="E424" s="14" t="s">
        <v>7</v>
      </c>
      <c r="F424" s="14" t="s">
        <v>5</v>
      </c>
      <c r="G424" s="14" t="s">
        <v>6</v>
      </c>
      <c r="H424" s="14" t="s">
        <v>7</v>
      </c>
      <c r="I424" s="14" t="s">
        <v>5</v>
      </c>
      <c r="J424" s="14" t="s">
        <v>6</v>
      </c>
      <c r="K424" s="14" t="s">
        <v>7</v>
      </c>
    </row>
    <row r="425" spans="1:11" x14ac:dyDescent="0.25">
      <c r="A425" s="20"/>
      <c r="B425" s="17" t="s">
        <v>42</v>
      </c>
      <c r="C425" s="14"/>
      <c r="D425" s="14"/>
      <c r="E425" s="14"/>
      <c r="F425" s="14"/>
      <c r="G425" s="14"/>
      <c r="H425" s="14"/>
      <c r="I425" s="17">
        <v>0</v>
      </c>
      <c r="J425" s="17">
        <v>0</v>
      </c>
      <c r="K425" s="17">
        <v>0</v>
      </c>
    </row>
    <row r="426" spans="1:11" x14ac:dyDescent="0.25">
      <c r="A426" s="18">
        <v>42009</v>
      </c>
      <c r="B426" s="19" t="s">
        <v>203</v>
      </c>
      <c r="C426" s="14">
        <v>150</v>
      </c>
      <c r="D426" s="21">
        <f>+E426/C426</f>
        <v>7.4999999999999997E-2</v>
      </c>
      <c r="E426" s="14">
        <v>11.25</v>
      </c>
      <c r="F426" s="14"/>
      <c r="G426" s="14"/>
      <c r="H426" s="14"/>
      <c r="I426" s="14">
        <f>+I425+C426</f>
        <v>150</v>
      </c>
      <c r="J426" s="21">
        <f>+K426/I426</f>
        <v>7.4999999999999997E-2</v>
      </c>
      <c r="K426" s="21">
        <f>+K425+E426</f>
        <v>11.25</v>
      </c>
    </row>
    <row r="427" spans="1:11" x14ac:dyDescent="0.25">
      <c r="A427" s="20"/>
      <c r="B427" s="14"/>
      <c r="C427" s="14"/>
      <c r="D427" s="14"/>
      <c r="E427" s="14"/>
      <c r="F427" s="14"/>
      <c r="G427" s="21"/>
      <c r="H427" s="14"/>
      <c r="I427" s="14"/>
      <c r="J427" s="21"/>
      <c r="K427" s="21"/>
    </row>
    <row r="428" spans="1:11" x14ac:dyDescent="0.25">
      <c r="A428" s="20"/>
      <c r="B428" s="14"/>
      <c r="C428" s="14"/>
      <c r="D428" s="14"/>
      <c r="E428" s="14"/>
      <c r="F428" s="14"/>
      <c r="G428" s="21"/>
      <c r="H428" s="14"/>
      <c r="I428" s="14"/>
      <c r="J428" s="21"/>
      <c r="K428" s="21"/>
    </row>
    <row r="429" spans="1:11" x14ac:dyDescent="0.25">
      <c r="A429" s="20"/>
      <c r="B429" s="14"/>
      <c r="C429" s="14"/>
      <c r="D429" s="14"/>
      <c r="E429" s="14"/>
      <c r="F429" s="14"/>
      <c r="G429" s="21"/>
      <c r="H429" s="21"/>
      <c r="I429" s="14"/>
      <c r="J429" s="21"/>
      <c r="K429" s="21"/>
    </row>
    <row r="433" spans="1:11" x14ac:dyDescent="0.25">
      <c r="A433" s="456" t="s">
        <v>10</v>
      </c>
      <c r="B433" s="456"/>
      <c r="C433" s="456"/>
      <c r="D433" s="456"/>
      <c r="E433" s="456"/>
      <c r="F433" s="456"/>
      <c r="G433" s="456"/>
      <c r="H433" s="456"/>
      <c r="I433" s="456"/>
      <c r="J433" s="456"/>
      <c r="K433" s="456"/>
    </row>
    <row r="434" spans="1:11" x14ac:dyDescent="0.25">
      <c r="A434" s="456" t="s">
        <v>11</v>
      </c>
      <c r="B434" s="456"/>
      <c r="C434" s="456"/>
      <c r="D434" s="456"/>
      <c r="E434" s="456"/>
      <c r="F434" s="456"/>
      <c r="G434" s="456"/>
      <c r="H434" s="456"/>
      <c r="I434" s="456"/>
      <c r="J434" s="456"/>
      <c r="K434" s="456"/>
    </row>
    <row r="435" spans="1:11" x14ac:dyDescent="0.25">
      <c r="A435" s="14" t="s">
        <v>8</v>
      </c>
      <c r="B435" s="458" t="s">
        <v>40</v>
      </c>
      <c r="C435" s="459"/>
      <c r="D435" s="459"/>
      <c r="E435" s="460"/>
      <c r="F435" s="15" t="s">
        <v>48</v>
      </c>
      <c r="G435" s="458" t="s">
        <v>49</v>
      </c>
      <c r="H435" s="459"/>
      <c r="I435" s="459"/>
      <c r="J435" s="459"/>
      <c r="K435" s="460"/>
    </row>
    <row r="436" spans="1:11" x14ac:dyDescent="0.25">
      <c r="A436" s="12" t="s">
        <v>9</v>
      </c>
      <c r="B436" s="457" t="s">
        <v>44</v>
      </c>
      <c r="C436" s="457"/>
      <c r="D436" s="457"/>
      <c r="E436" s="457"/>
      <c r="F436" s="16" t="s">
        <v>12</v>
      </c>
      <c r="G436" s="458" t="s">
        <v>51</v>
      </c>
      <c r="H436" s="459"/>
      <c r="I436" s="459"/>
      <c r="J436" s="459"/>
      <c r="K436" s="460"/>
    </row>
    <row r="437" spans="1:11" x14ac:dyDescent="0.25">
      <c r="A437" s="455" t="s">
        <v>0</v>
      </c>
      <c r="B437" s="455" t="s">
        <v>1</v>
      </c>
      <c r="C437" s="455" t="s">
        <v>2</v>
      </c>
      <c r="D437" s="455"/>
      <c r="E437" s="455"/>
      <c r="F437" s="455" t="s">
        <v>3</v>
      </c>
      <c r="G437" s="455"/>
      <c r="H437" s="455"/>
      <c r="I437" s="455" t="s">
        <v>4</v>
      </c>
      <c r="J437" s="455"/>
      <c r="K437" s="455"/>
    </row>
    <row r="438" spans="1:11" x14ac:dyDescent="0.25">
      <c r="A438" s="455"/>
      <c r="B438" s="455"/>
      <c r="C438" s="14" t="s">
        <v>5</v>
      </c>
      <c r="D438" s="14" t="s">
        <v>6</v>
      </c>
      <c r="E438" s="14" t="s">
        <v>7</v>
      </c>
      <c r="F438" s="14" t="s">
        <v>5</v>
      </c>
      <c r="G438" s="14" t="s">
        <v>6</v>
      </c>
      <c r="H438" s="14" t="s">
        <v>7</v>
      </c>
      <c r="I438" s="14" t="s">
        <v>5</v>
      </c>
      <c r="J438" s="14" t="s">
        <v>6</v>
      </c>
      <c r="K438" s="14" t="s">
        <v>7</v>
      </c>
    </row>
    <row r="439" spans="1:11" x14ac:dyDescent="0.25">
      <c r="A439" s="20"/>
      <c r="B439" s="17" t="s">
        <v>42</v>
      </c>
      <c r="C439" s="14"/>
      <c r="D439" s="14"/>
      <c r="E439" s="14"/>
      <c r="F439" s="14"/>
      <c r="G439" s="14"/>
      <c r="H439" s="14"/>
      <c r="I439" s="17">
        <v>0</v>
      </c>
      <c r="J439" s="17">
        <v>0</v>
      </c>
      <c r="K439" s="17">
        <v>0</v>
      </c>
    </row>
    <row r="440" spans="1:11" x14ac:dyDescent="0.25">
      <c r="A440" s="18">
        <v>42009</v>
      </c>
      <c r="B440" s="19" t="s">
        <v>203</v>
      </c>
      <c r="C440" s="14">
        <v>500</v>
      </c>
      <c r="D440" s="21">
        <f>+E440/C440</f>
        <v>7.1999999999999995E-2</v>
      </c>
      <c r="E440" s="14">
        <v>36</v>
      </c>
      <c r="F440" s="14"/>
      <c r="G440" s="14"/>
      <c r="H440" s="14"/>
      <c r="I440" s="14">
        <f>+I439+C440</f>
        <v>500</v>
      </c>
      <c r="J440" s="21">
        <f>+K440/I440</f>
        <v>7.1999999999999995E-2</v>
      </c>
      <c r="K440" s="21">
        <f>+K439+E440</f>
        <v>36</v>
      </c>
    </row>
    <row r="441" spans="1:11" x14ac:dyDescent="0.25">
      <c r="A441" s="20"/>
      <c r="B441" s="14"/>
      <c r="C441" s="14"/>
      <c r="D441" s="14"/>
      <c r="E441" s="14"/>
      <c r="F441" s="14"/>
      <c r="G441" s="21"/>
      <c r="H441" s="14"/>
      <c r="I441" s="14"/>
      <c r="J441" s="21"/>
      <c r="K441" s="21"/>
    </row>
    <row r="442" spans="1:11" x14ac:dyDescent="0.25">
      <c r="A442" s="20"/>
      <c r="B442" s="14"/>
      <c r="C442" s="14"/>
      <c r="D442" s="14"/>
      <c r="E442" s="14"/>
      <c r="F442" s="14"/>
      <c r="G442" s="21"/>
      <c r="H442" s="14"/>
      <c r="I442" s="14"/>
      <c r="J442" s="21"/>
      <c r="K442" s="21"/>
    </row>
    <row r="443" spans="1:11" x14ac:dyDescent="0.25">
      <c r="A443" s="20"/>
      <c r="B443" s="14"/>
      <c r="C443" s="14"/>
      <c r="D443" s="14"/>
      <c r="E443" s="14"/>
      <c r="F443" s="14"/>
      <c r="G443" s="21"/>
      <c r="H443" s="21"/>
      <c r="I443" s="14"/>
      <c r="J443" s="21"/>
      <c r="K443" s="21"/>
    </row>
  </sheetData>
  <mergeCells count="307">
    <mergeCell ref="B435:E435"/>
    <mergeCell ref="G435:K435"/>
    <mergeCell ref="G436:K436"/>
    <mergeCell ref="A2:K2"/>
    <mergeCell ref="A3:K3"/>
    <mergeCell ref="B5:E5"/>
    <mergeCell ref="A15:K15"/>
    <mergeCell ref="B4:E4"/>
    <mergeCell ref="A6:A7"/>
    <mergeCell ref="B6:B7"/>
    <mergeCell ref="C6:E6"/>
    <mergeCell ref="F6:H6"/>
    <mergeCell ref="I6:K6"/>
    <mergeCell ref="G4:K4"/>
    <mergeCell ref="G5:K5"/>
    <mergeCell ref="A16:K16"/>
    <mergeCell ref="B18:E18"/>
    <mergeCell ref="A19:A20"/>
    <mergeCell ref="B19:B20"/>
    <mergeCell ref="C19:E19"/>
    <mergeCell ref="F19:H19"/>
    <mergeCell ref="I19:K19"/>
    <mergeCell ref="B17:E17"/>
    <mergeCell ref="G17:K17"/>
    <mergeCell ref="G18:K18"/>
    <mergeCell ref="A28:K28"/>
    <mergeCell ref="A29:K29"/>
    <mergeCell ref="B31:E31"/>
    <mergeCell ref="A32:A33"/>
    <mergeCell ref="B32:B33"/>
    <mergeCell ref="C32:E32"/>
    <mergeCell ref="F32:H32"/>
    <mergeCell ref="I32:K32"/>
    <mergeCell ref="G30:K30"/>
    <mergeCell ref="G31:K31"/>
    <mergeCell ref="B30:E30"/>
    <mergeCell ref="A47:K47"/>
    <mergeCell ref="A48:K48"/>
    <mergeCell ref="B50:E50"/>
    <mergeCell ref="A51:A52"/>
    <mergeCell ref="B51:B52"/>
    <mergeCell ref="C51:E51"/>
    <mergeCell ref="F51:H51"/>
    <mergeCell ref="I51:K51"/>
    <mergeCell ref="B49:E49"/>
    <mergeCell ref="G49:K49"/>
    <mergeCell ref="G50:K50"/>
    <mergeCell ref="A65:K65"/>
    <mergeCell ref="A66:K66"/>
    <mergeCell ref="B68:E68"/>
    <mergeCell ref="A69:A70"/>
    <mergeCell ref="B69:B70"/>
    <mergeCell ref="C69:E69"/>
    <mergeCell ref="F69:H69"/>
    <mergeCell ref="I69:K69"/>
    <mergeCell ref="B67:E67"/>
    <mergeCell ref="G67:K67"/>
    <mergeCell ref="G68:K68"/>
    <mergeCell ref="A85:K85"/>
    <mergeCell ref="A86:K86"/>
    <mergeCell ref="B88:E88"/>
    <mergeCell ref="A89:A90"/>
    <mergeCell ref="B89:B90"/>
    <mergeCell ref="C89:E89"/>
    <mergeCell ref="F89:H89"/>
    <mergeCell ref="I89:K89"/>
    <mergeCell ref="B87:E87"/>
    <mergeCell ref="G88:K88"/>
    <mergeCell ref="G87:K87"/>
    <mergeCell ref="A109:K109"/>
    <mergeCell ref="A110:K110"/>
    <mergeCell ref="B112:E112"/>
    <mergeCell ref="A113:A114"/>
    <mergeCell ref="B113:B114"/>
    <mergeCell ref="C113:E113"/>
    <mergeCell ref="F113:H113"/>
    <mergeCell ref="I113:K113"/>
    <mergeCell ref="B111:E111"/>
    <mergeCell ref="G112:K112"/>
    <mergeCell ref="G111:K111"/>
    <mergeCell ref="A122:K122"/>
    <mergeCell ref="A123:K123"/>
    <mergeCell ref="B125:E125"/>
    <mergeCell ref="A126:A127"/>
    <mergeCell ref="B126:B127"/>
    <mergeCell ref="C126:E126"/>
    <mergeCell ref="F126:H126"/>
    <mergeCell ref="I126:K126"/>
    <mergeCell ref="B124:E124"/>
    <mergeCell ref="G125:K125"/>
    <mergeCell ref="G124:K124"/>
    <mergeCell ref="A135:K135"/>
    <mergeCell ref="A136:K136"/>
    <mergeCell ref="B138:E138"/>
    <mergeCell ref="A139:A140"/>
    <mergeCell ref="B139:B140"/>
    <mergeCell ref="C139:E139"/>
    <mergeCell ref="F139:H139"/>
    <mergeCell ref="I139:K139"/>
    <mergeCell ref="B137:E137"/>
    <mergeCell ref="G137:K137"/>
    <mergeCell ref="G138:K138"/>
    <mergeCell ref="A150:K150"/>
    <mergeCell ref="A151:K151"/>
    <mergeCell ref="B153:E153"/>
    <mergeCell ref="A154:A155"/>
    <mergeCell ref="B154:B155"/>
    <mergeCell ref="C154:E154"/>
    <mergeCell ref="F154:H154"/>
    <mergeCell ref="I154:K154"/>
    <mergeCell ref="B152:E152"/>
    <mergeCell ref="G152:K152"/>
    <mergeCell ref="G153:K153"/>
    <mergeCell ref="A164:K164"/>
    <mergeCell ref="A165:K165"/>
    <mergeCell ref="B167:E167"/>
    <mergeCell ref="A168:A169"/>
    <mergeCell ref="B168:B169"/>
    <mergeCell ref="C168:E168"/>
    <mergeCell ref="F168:H168"/>
    <mergeCell ref="I168:K168"/>
    <mergeCell ref="B166:E166"/>
    <mergeCell ref="G166:K166"/>
    <mergeCell ref="G167:K167"/>
    <mergeCell ref="A182:K182"/>
    <mergeCell ref="A183:K183"/>
    <mergeCell ref="B185:E185"/>
    <mergeCell ref="A186:A187"/>
    <mergeCell ref="B186:B187"/>
    <mergeCell ref="C186:E186"/>
    <mergeCell ref="F186:H186"/>
    <mergeCell ref="I186:K186"/>
    <mergeCell ref="B184:E184"/>
    <mergeCell ref="G184:K184"/>
    <mergeCell ref="G185:K185"/>
    <mergeCell ref="A203:K203"/>
    <mergeCell ref="A204:K204"/>
    <mergeCell ref="B206:E206"/>
    <mergeCell ref="A207:A208"/>
    <mergeCell ref="B207:B208"/>
    <mergeCell ref="C207:E207"/>
    <mergeCell ref="F207:H207"/>
    <mergeCell ref="I207:K207"/>
    <mergeCell ref="B205:E205"/>
    <mergeCell ref="G205:K205"/>
    <mergeCell ref="G206:K206"/>
    <mergeCell ref="A220:K220"/>
    <mergeCell ref="A221:K221"/>
    <mergeCell ref="B223:E223"/>
    <mergeCell ref="A224:A225"/>
    <mergeCell ref="B224:B225"/>
    <mergeCell ref="C224:E224"/>
    <mergeCell ref="F224:H224"/>
    <mergeCell ref="I224:K224"/>
    <mergeCell ref="B222:E222"/>
    <mergeCell ref="G222:K222"/>
    <mergeCell ref="G223:K223"/>
    <mergeCell ref="A241:K241"/>
    <mergeCell ref="A242:K242"/>
    <mergeCell ref="B244:E244"/>
    <mergeCell ref="A245:A246"/>
    <mergeCell ref="B245:B246"/>
    <mergeCell ref="C245:E245"/>
    <mergeCell ref="F245:H245"/>
    <mergeCell ref="I245:K245"/>
    <mergeCell ref="B243:E243"/>
    <mergeCell ref="G243:K243"/>
    <mergeCell ref="G244:K244"/>
    <mergeCell ref="A258:K258"/>
    <mergeCell ref="A259:K259"/>
    <mergeCell ref="B261:E261"/>
    <mergeCell ref="A262:A263"/>
    <mergeCell ref="B262:B263"/>
    <mergeCell ref="C262:E262"/>
    <mergeCell ref="F262:H262"/>
    <mergeCell ref="I262:K262"/>
    <mergeCell ref="B260:E260"/>
    <mergeCell ref="G260:K260"/>
    <mergeCell ref="G261:K261"/>
    <mergeCell ref="A272:K272"/>
    <mergeCell ref="A273:K273"/>
    <mergeCell ref="B275:E275"/>
    <mergeCell ref="A276:A277"/>
    <mergeCell ref="B276:B277"/>
    <mergeCell ref="C276:E276"/>
    <mergeCell ref="F276:H276"/>
    <mergeCell ref="I276:K276"/>
    <mergeCell ref="B274:E274"/>
    <mergeCell ref="G274:K274"/>
    <mergeCell ref="G275:K275"/>
    <mergeCell ref="A289:K289"/>
    <mergeCell ref="A290:K290"/>
    <mergeCell ref="B292:E292"/>
    <mergeCell ref="A293:A294"/>
    <mergeCell ref="B293:B294"/>
    <mergeCell ref="C293:E293"/>
    <mergeCell ref="F293:H293"/>
    <mergeCell ref="I293:K293"/>
    <mergeCell ref="B291:E291"/>
    <mergeCell ref="G291:K291"/>
    <mergeCell ref="G292:K292"/>
    <mergeCell ref="A302:K302"/>
    <mergeCell ref="A303:K303"/>
    <mergeCell ref="B305:E305"/>
    <mergeCell ref="A306:A307"/>
    <mergeCell ref="B306:B307"/>
    <mergeCell ref="C306:E306"/>
    <mergeCell ref="F306:H306"/>
    <mergeCell ref="I306:K306"/>
    <mergeCell ref="B304:E304"/>
    <mergeCell ref="G304:K304"/>
    <mergeCell ref="G305:K305"/>
    <mergeCell ref="A319:K319"/>
    <mergeCell ref="A320:K320"/>
    <mergeCell ref="B322:E322"/>
    <mergeCell ref="A323:A324"/>
    <mergeCell ref="B323:B324"/>
    <mergeCell ref="C323:E323"/>
    <mergeCell ref="F323:H323"/>
    <mergeCell ref="I323:K323"/>
    <mergeCell ref="B321:E321"/>
    <mergeCell ref="G321:K321"/>
    <mergeCell ref="A334:K334"/>
    <mergeCell ref="A335:K335"/>
    <mergeCell ref="B337:E337"/>
    <mergeCell ref="A338:A339"/>
    <mergeCell ref="B338:B339"/>
    <mergeCell ref="C338:E338"/>
    <mergeCell ref="F338:H338"/>
    <mergeCell ref="I338:K338"/>
    <mergeCell ref="B336:E336"/>
    <mergeCell ref="G336:K336"/>
    <mergeCell ref="G337:K337"/>
    <mergeCell ref="A350:K350"/>
    <mergeCell ref="A351:K351"/>
    <mergeCell ref="B353:E353"/>
    <mergeCell ref="A354:A355"/>
    <mergeCell ref="B354:B355"/>
    <mergeCell ref="C354:E354"/>
    <mergeCell ref="F354:H354"/>
    <mergeCell ref="I354:K354"/>
    <mergeCell ref="B352:E352"/>
    <mergeCell ref="G352:K352"/>
    <mergeCell ref="G353:K353"/>
    <mergeCell ref="A363:K363"/>
    <mergeCell ref="A364:K364"/>
    <mergeCell ref="B366:E366"/>
    <mergeCell ref="A367:A368"/>
    <mergeCell ref="B367:B368"/>
    <mergeCell ref="C367:E367"/>
    <mergeCell ref="F367:H367"/>
    <mergeCell ref="I367:K367"/>
    <mergeCell ref="B365:E365"/>
    <mergeCell ref="G365:K365"/>
    <mergeCell ref="G366:K366"/>
    <mergeCell ref="A379:K379"/>
    <mergeCell ref="A380:K380"/>
    <mergeCell ref="B382:E382"/>
    <mergeCell ref="A383:A384"/>
    <mergeCell ref="B383:B384"/>
    <mergeCell ref="C383:E383"/>
    <mergeCell ref="F383:H383"/>
    <mergeCell ref="I383:K383"/>
    <mergeCell ref="B381:E381"/>
    <mergeCell ref="G381:K381"/>
    <mergeCell ref="G382:K382"/>
    <mergeCell ref="B408:E408"/>
    <mergeCell ref="G408:K408"/>
    <mergeCell ref="G409:K409"/>
    <mergeCell ref="A393:K393"/>
    <mergeCell ref="A394:K394"/>
    <mergeCell ref="B396:E396"/>
    <mergeCell ref="A397:A398"/>
    <mergeCell ref="B397:B398"/>
    <mergeCell ref="C397:E397"/>
    <mergeCell ref="F397:H397"/>
    <mergeCell ref="I397:K397"/>
    <mergeCell ref="B395:E395"/>
    <mergeCell ref="G395:K395"/>
    <mergeCell ref="G396:K396"/>
    <mergeCell ref="A406:K406"/>
    <mergeCell ref="A407:K407"/>
    <mergeCell ref="B409:E409"/>
    <mergeCell ref="A410:A411"/>
    <mergeCell ref="B410:B411"/>
    <mergeCell ref="C410:E410"/>
    <mergeCell ref="F410:H410"/>
    <mergeCell ref="I410:K410"/>
    <mergeCell ref="A433:K433"/>
    <mergeCell ref="A434:K434"/>
    <mergeCell ref="B436:E436"/>
    <mergeCell ref="A437:A438"/>
    <mergeCell ref="B437:B438"/>
    <mergeCell ref="C437:E437"/>
    <mergeCell ref="F437:H437"/>
    <mergeCell ref="I437:K437"/>
    <mergeCell ref="A419:K419"/>
    <mergeCell ref="A420:K420"/>
    <mergeCell ref="B422:E422"/>
    <mergeCell ref="A423:A424"/>
    <mergeCell ref="B423:B424"/>
    <mergeCell ref="C423:E423"/>
    <mergeCell ref="F423:H423"/>
    <mergeCell ref="I423:K423"/>
    <mergeCell ref="B421:E421"/>
    <mergeCell ref="G421:K421"/>
    <mergeCell ref="G422:K42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opLeftCell="A13" workbookViewId="0">
      <selection activeCell="I24" sqref="I24"/>
    </sheetView>
  </sheetViews>
  <sheetFormatPr baseColWidth="10" defaultRowHeight="15" x14ac:dyDescent="0.25"/>
  <cols>
    <col min="2" max="2" width="14.85546875" customWidth="1"/>
    <col min="4" max="4" width="14.5703125" customWidth="1"/>
  </cols>
  <sheetData>
    <row r="1" spans="1:9" ht="15.75" x14ac:dyDescent="0.25">
      <c r="A1" s="13" t="s">
        <v>267</v>
      </c>
      <c r="B1" s="536" t="s">
        <v>268</v>
      </c>
      <c r="C1" s="536"/>
      <c r="D1" s="536"/>
      <c r="E1" s="536"/>
      <c r="F1" s="536"/>
      <c r="G1" s="536"/>
      <c r="H1" s="536"/>
      <c r="I1" s="13"/>
    </row>
    <row r="2" spans="1:9" ht="15.75" x14ac:dyDescent="0.25">
      <c r="A2" s="13"/>
      <c r="B2" s="543" t="s">
        <v>303</v>
      </c>
      <c r="C2" s="543"/>
      <c r="D2" s="543"/>
      <c r="E2" s="543"/>
      <c r="F2" s="543"/>
      <c r="G2" s="543"/>
      <c r="H2" s="543"/>
      <c r="I2" s="13"/>
    </row>
    <row r="3" spans="1:9" ht="15.75" x14ac:dyDescent="0.25">
      <c r="A3" s="552" t="s">
        <v>252</v>
      </c>
      <c r="B3" s="552"/>
      <c r="C3" s="552"/>
      <c r="D3" s="552"/>
      <c r="E3" s="552"/>
      <c r="F3" s="552"/>
      <c r="G3" s="552"/>
      <c r="H3" s="552"/>
      <c r="I3" s="552"/>
    </row>
    <row r="4" spans="1:9" ht="15" customHeight="1" x14ac:dyDescent="0.25">
      <c r="A4" s="553" t="s">
        <v>253</v>
      </c>
      <c r="B4" s="555" t="s">
        <v>254</v>
      </c>
      <c r="C4" s="560" t="s">
        <v>305</v>
      </c>
      <c r="D4" s="561"/>
      <c r="E4" s="557" t="s">
        <v>259</v>
      </c>
      <c r="F4" s="559" t="s">
        <v>255</v>
      </c>
      <c r="G4" s="559" t="s">
        <v>256</v>
      </c>
      <c r="H4" s="559" t="s">
        <v>257</v>
      </c>
      <c r="I4" s="550" t="s">
        <v>261</v>
      </c>
    </row>
    <row r="5" spans="1:9" ht="37.5" customHeight="1" x14ac:dyDescent="0.25">
      <c r="A5" s="554"/>
      <c r="B5" s="556"/>
      <c r="C5" s="95" t="str">
        <f>+'Rol de pagos octubre'!C6</f>
        <v>Sueldo Básico</v>
      </c>
      <c r="D5" s="91" t="str">
        <f>+'Rol de pagos octubre'!D6</f>
        <v>Bono por responsabilidad</v>
      </c>
      <c r="E5" s="558"/>
      <c r="F5" s="559"/>
      <c r="G5" s="559"/>
      <c r="H5" s="559"/>
      <c r="I5" s="551"/>
    </row>
    <row r="6" spans="1:9" ht="31.5" x14ac:dyDescent="0.25">
      <c r="A6" s="74" t="s">
        <v>262</v>
      </c>
      <c r="B6" s="74" t="s">
        <v>263</v>
      </c>
      <c r="C6" s="93">
        <v>500</v>
      </c>
      <c r="D6" s="75">
        <f>+'Rol de pagos octubre'!D7</f>
        <v>100</v>
      </c>
      <c r="E6" s="75">
        <f>(+C6+D6)*12.15%</f>
        <v>72.899999999999991</v>
      </c>
      <c r="F6" s="75">
        <f>(C6+D6)/12</f>
        <v>50</v>
      </c>
      <c r="G6" s="75">
        <f>(354/12)</f>
        <v>29.5</v>
      </c>
      <c r="H6" s="75">
        <f>(C6+D6)/24</f>
        <v>25</v>
      </c>
      <c r="I6" s="75">
        <f>SUM(E6:H6)</f>
        <v>177.39999999999998</v>
      </c>
    </row>
    <row r="7" spans="1:9" ht="31.5" x14ac:dyDescent="0.25">
      <c r="A7" s="74" t="s">
        <v>264</v>
      </c>
      <c r="B7" s="74" t="s">
        <v>265</v>
      </c>
      <c r="C7" s="92">
        <f>+'Rol de pagos octubre'!C8</f>
        <v>373.65</v>
      </c>
      <c r="D7" s="75">
        <f>+'Rol de pagos octubre'!D8</f>
        <v>72</v>
      </c>
      <c r="E7" s="75">
        <f>(+C7+D7)*12.15%</f>
        <v>54.146474999999995</v>
      </c>
      <c r="F7" s="75">
        <f>(C7+D7)/12</f>
        <v>37.137499999999996</v>
      </c>
      <c r="G7" s="75">
        <f>(354/12)</f>
        <v>29.5</v>
      </c>
      <c r="H7" s="75">
        <f>(C7+D7)/24</f>
        <v>18.568749999999998</v>
      </c>
      <c r="I7" s="75">
        <f>SUM(E7:H7)</f>
        <v>139.35272499999999</v>
      </c>
    </row>
    <row r="8" spans="1:9" ht="15.75" x14ac:dyDescent="0.25">
      <c r="A8" s="541" t="s">
        <v>266</v>
      </c>
      <c r="B8" s="542"/>
      <c r="C8" s="160">
        <f>SUM(C6:C7)</f>
        <v>873.65</v>
      </c>
      <c r="D8" s="156">
        <f>SUM(D6:D7)</f>
        <v>172</v>
      </c>
      <c r="E8" s="156">
        <f t="shared" ref="E8:H8" si="0">SUM(E6:E7)</f>
        <v>127.04647499999999</v>
      </c>
      <c r="F8" s="156">
        <f t="shared" si="0"/>
        <v>87.137499999999989</v>
      </c>
      <c r="G8" s="156">
        <f t="shared" si="0"/>
        <v>59</v>
      </c>
      <c r="H8" s="156">
        <f t="shared" si="0"/>
        <v>43.568749999999994</v>
      </c>
      <c r="I8" s="156">
        <f>+H8+G8+F8+E8</f>
        <v>316.75272499999994</v>
      </c>
    </row>
    <row r="11" spans="1:9" ht="15.75" x14ac:dyDescent="0.25">
      <c r="A11" s="538" t="s">
        <v>213</v>
      </c>
      <c r="B11" s="538"/>
      <c r="C11" s="538"/>
      <c r="D11" s="538"/>
      <c r="E11" s="538"/>
      <c r="F11" s="538"/>
      <c r="G11" s="538"/>
      <c r="H11" s="538"/>
      <c r="I11" s="538"/>
    </row>
    <row r="12" spans="1:9" ht="15.75" x14ac:dyDescent="0.25">
      <c r="A12" s="94"/>
      <c r="B12" s="94"/>
      <c r="C12" s="560" t="s">
        <v>305</v>
      </c>
      <c r="D12" s="561"/>
      <c r="E12" s="94"/>
      <c r="F12" s="90"/>
      <c r="G12" s="90"/>
      <c r="H12" s="90"/>
      <c r="I12" s="94"/>
    </row>
    <row r="13" spans="1:9" ht="51" customHeight="1" x14ac:dyDescent="0.25">
      <c r="A13" s="86" t="s">
        <v>253</v>
      </c>
      <c r="B13" s="87" t="s">
        <v>254</v>
      </c>
      <c r="C13" s="95" t="s">
        <v>280</v>
      </c>
      <c r="D13" s="91" t="s">
        <v>281</v>
      </c>
      <c r="E13" s="82" t="s">
        <v>259</v>
      </c>
      <c r="F13" s="81" t="s">
        <v>255</v>
      </c>
      <c r="G13" s="81" t="s">
        <v>256</v>
      </c>
      <c r="H13" s="81" t="s">
        <v>257</v>
      </c>
      <c r="I13" s="83" t="s">
        <v>261</v>
      </c>
    </row>
    <row r="14" spans="1:9" ht="31.5" x14ac:dyDescent="0.25">
      <c r="A14" s="77" t="s">
        <v>269</v>
      </c>
      <c r="B14" s="77" t="s">
        <v>270</v>
      </c>
      <c r="C14" s="96">
        <f>+'Rol de pagos octubre'!C13</f>
        <v>373.65</v>
      </c>
      <c r="D14" s="75">
        <f>+'Rol de pagos octubre'!D13</f>
        <v>35</v>
      </c>
      <c r="E14" s="75">
        <f>(+C14+D14)*12.15%</f>
        <v>49.650974999999995</v>
      </c>
      <c r="F14" s="75">
        <f>(C14+D14)/12</f>
        <v>34.054166666666667</v>
      </c>
      <c r="G14" s="75">
        <f>(354/12)</f>
        <v>29.5</v>
      </c>
      <c r="H14" s="75">
        <f>(C14+D14)/24</f>
        <v>17.027083333333334</v>
      </c>
      <c r="I14" s="75">
        <f>SUM(E14:H14)</f>
        <v>130.232225</v>
      </c>
    </row>
    <row r="15" spans="1:9" ht="31.5" x14ac:dyDescent="0.25">
      <c r="A15" s="77" t="s">
        <v>271</v>
      </c>
      <c r="B15" s="77" t="s">
        <v>270</v>
      </c>
      <c r="C15" s="96">
        <f>+'Rol de pagos octubre'!C14</f>
        <v>373.65</v>
      </c>
      <c r="D15" s="75">
        <f>+'Rol de pagos octubre'!D14</f>
        <v>35</v>
      </c>
      <c r="E15" s="75">
        <f t="shared" ref="E15:E18" si="1">(+C15+D15)*12.15%</f>
        <v>49.650974999999995</v>
      </c>
      <c r="F15" s="75">
        <f t="shared" ref="F15:F18" si="2">(C15+D15)/12</f>
        <v>34.054166666666667</v>
      </c>
      <c r="G15" s="75">
        <f t="shared" ref="G15:G18" si="3">(354/12)</f>
        <v>29.5</v>
      </c>
      <c r="H15" s="75">
        <f t="shared" ref="H15:H17" si="4">(C15+D15)/24</f>
        <v>17.027083333333334</v>
      </c>
      <c r="I15" s="75">
        <f>SUM(E15:H15)</f>
        <v>130.232225</v>
      </c>
    </row>
    <row r="16" spans="1:9" ht="31.5" x14ac:dyDescent="0.25">
      <c r="A16" s="77" t="s">
        <v>272</v>
      </c>
      <c r="B16" s="77" t="s">
        <v>270</v>
      </c>
      <c r="C16" s="96">
        <f>+'Rol de pagos octubre'!C15</f>
        <v>373.65</v>
      </c>
      <c r="D16" s="75">
        <f>+'Rol de pagos octubre'!D15</f>
        <v>35</v>
      </c>
      <c r="E16" s="75">
        <f t="shared" si="1"/>
        <v>49.650974999999995</v>
      </c>
      <c r="F16" s="75">
        <f t="shared" si="2"/>
        <v>34.054166666666667</v>
      </c>
      <c r="G16" s="75">
        <f t="shared" si="3"/>
        <v>29.5</v>
      </c>
      <c r="H16" s="75">
        <f t="shared" si="4"/>
        <v>17.027083333333334</v>
      </c>
      <c r="I16" s="75">
        <f>SUM(E16:H16)</f>
        <v>130.232225</v>
      </c>
    </row>
    <row r="17" spans="1:9" ht="31.5" x14ac:dyDescent="0.25">
      <c r="A17" s="77" t="s">
        <v>273</v>
      </c>
      <c r="B17" s="77" t="s">
        <v>270</v>
      </c>
      <c r="C17" s="96">
        <f>+'Rol de pagos octubre'!C16</f>
        <v>373.65</v>
      </c>
      <c r="D17" s="75">
        <f>+'Rol de pagos octubre'!D16</f>
        <v>35</v>
      </c>
      <c r="E17" s="75">
        <f t="shared" si="1"/>
        <v>49.650974999999995</v>
      </c>
      <c r="F17" s="75">
        <f t="shared" si="2"/>
        <v>34.054166666666667</v>
      </c>
      <c r="G17" s="75">
        <f t="shared" si="3"/>
        <v>29.5</v>
      </c>
      <c r="H17" s="75">
        <f t="shared" si="4"/>
        <v>17.027083333333334</v>
      </c>
      <c r="I17" s="75">
        <f>SUM(E17:H17)</f>
        <v>130.232225</v>
      </c>
    </row>
    <row r="18" spans="1:9" ht="31.5" x14ac:dyDescent="0.25">
      <c r="A18" s="77" t="s">
        <v>274</v>
      </c>
      <c r="B18" s="77" t="s">
        <v>270</v>
      </c>
      <c r="C18" s="96">
        <f>+'Rol de pagos octubre'!C17</f>
        <v>373.65</v>
      </c>
      <c r="D18" s="75">
        <f>+'Rol de pagos octubre'!D17</f>
        <v>35</v>
      </c>
      <c r="E18" s="75">
        <f t="shared" si="1"/>
        <v>49.650974999999995</v>
      </c>
      <c r="F18" s="75">
        <f t="shared" si="2"/>
        <v>34.054166666666667</v>
      </c>
      <c r="G18" s="75">
        <f t="shared" si="3"/>
        <v>29.5</v>
      </c>
      <c r="H18" s="75">
        <f>(C18+D18)/24</f>
        <v>17.027083333333334</v>
      </c>
      <c r="I18" s="75">
        <f>SUM(E18:H18)</f>
        <v>130.232225</v>
      </c>
    </row>
    <row r="19" spans="1:9" ht="15.75" x14ac:dyDescent="0.25">
      <c r="A19" s="539" t="s">
        <v>275</v>
      </c>
      <c r="B19" s="540"/>
      <c r="C19" s="159">
        <f>SUM(C14:C18)</f>
        <v>1868.25</v>
      </c>
      <c r="D19" s="159">
        <f>SUM(D14:D18)</f>
        <v>175</v>
      </c>
      <c r="E19" s="157">
        <f t="shared" ref="E19:I19" si="5">SUM(E14:E18)</f>
        <v>248.25487499999997</v>
      </c>
      <c r="F19" s="157">
        <f t="shared" si="5"/>
        <v>170.27083333333334</v>
      </c>
      <c r="G19" s="157">
        <f t="shared" si="5"/>
        <v>147.5</v>
      </c>
      <c r="H19" s="157">
        <f t="shared" si="5"/>
        <v>85.135416666666671</v>
      </c>
      <c r="I19" s="157">
        <f t="shared" si="5"/>
        <v>651.16112499999997</v>
      </c>
    </row>
    <row r="22" spans="1:9" ht="15.75" x14ac:dyDescent="0.25">
      <c r="A22" s="538" t="s">
        <v>279</v>
      </c>
      <c r="B22" s="538"/>
      <c r="C22" s="538"/>
      <c r="D22" s="538"/>
      <c r="E22" s="538"/>
      <c r="F22" s="538"/>
      <c r="G22" s="538"/>
      <c r="H22" s="538"/>
      <c r="I22" s="538"/>
    </row>
    <row r="23" spans="1:9" ht="15.75" x14ac:dyDescent="0.25">
      <c r="A23" s="94"/>
      <c r="B23" s="94"/>
      <c r="C23" s="560" t="s">
        <v>305</v>
      </c>
      <c r="D23" s="561"/>
      <c r="E23" s="94"/>
      <c r="F23" s="90"/>
      <c r="G23" s="90"/>
      <c r="H23" s="90"/>
      <c r="I23" s="94"/>
    </row>
    <row r="24" spans="1:9" ht="47.25" x14ac:dyDescent="0.25">
      <c r="A24" s="86" t="s">
        <v>253</v>
      </c>
      <c r="B24" s="87" t="s">
        <v>254</v>
      </c>
      <c r="C24" s="95" t="s">
        <v>280</v>
      </c>
      <c r="D24" s="91" t="s">
        <v>281</v>
      </c>
      <c r="E24" s="82" t="s">
        <v>259</v>
      </c>
      <c r="F24" s="81" t="s">
        <v>255</v>
      </c>
      <c r="G24" s="81" t="s">
        <v>256</v>
      </c>
      <c r="H24" s="81" t="s">
        <v>257</v>
      </c>
      <c r="I24" s="83" t="s">
        <v>261</v>
      </c>
    </row>
    <row r="25" spans="1:9" ht="31.5" x14ac:dyDescent="0.25">
      <c r="A25" s="54" t="s">
        <v>276</v>
      </c>
      <c r="B25" s="54" t="s">
        <v>277</v>
      </c>
      <c r="C25" s="97">
        <f>+'Rol de pagos octubre'!C22</f>
        <v>381</v>
      </c>
      <c r="D25" s="75">
        <f>+'Rol de pagos octubre'!D22</f>
        <v>74</v>
      </c>
      <c r="E25" s="75">
        <f t="shared" ref="E25" si="6">(+C25+D25)*12.15%</f>
        <v>55.282499999999999</v>
      </c>
      <c r="F25" s="75">
        <f t="shared" ref="F25" si="7">(C25+D25)/12</f>
        <v>37.916666666666664</v>
      </c>
      <c r="G25" s="75">
        <f t="shared" ref="G25" si="8">(354/12)</f>
        <v>29.5</v>
      </c>
      <c r="H25" s="75">
        <f>(C25+D25)/24</f>
        <v>18.958333333333332</v>
      </c>
      <c r="I25" s="75">
        <f>SUM(E25:H25)</f>
        <v>141.6575</v>
      </c>
    </row>
    <row r="26" spans="1:9" ht="15.75" x14ac:dyDescent="0.25">
      <c r="A26" s="539" t="s">
        <v>278</v>
      </c>
      <c r="B26" s="540"/>
      <c r="C26" s="98">
        <f>SUM(C25)</f>
        <v>381</v>
      </c>
      <c r="D26" s="79">
        <f>+D25</f>
        <v>74</v>
      </c>
      <c r="E26" s="79">
        <f>+E25</f>
        <v>55.282499999999999</v>
      </c>
      <c r="F26" s="79">
        <f t="shared" ref="F26:I26" si="9">+F25</f>
        <v>37.916666666666664</v>
      </c>
      <c r="G26" s="79">
        <f t="shared" si="9"/>
        <v>29.5</v>
      </c>
      <c r="H26" s="79">
        <f t="shared" si="9"/>
        <v>18.958333333333332</v>
      </c>
      <c r="I26" s="79">
        <f t="shared" si="9"/>
        <v>141.6575</v>
      </c>
    </row>
    <row r="27" spans="1:9" ht="15.75" x14ac:dyDescent="0.25">
      <c r="A27" s="13"/>
      <c r="B27" s="13"/>
      <c r="C27" s="13"/>
      <c r="D27" s="13"/>
      <c r="E27" s="13"/>
      <c r="F27" s="13"/>
      <c r="G27" s="13"/>
      <c r="H27" s="13"/>
      <c r="I27" s="13"/>
    </row>
    <row r="28" spans="1:9" ht="15.75" x14ac:dyDescent="0.25">
      <c r="A28" s="538" t="s">
        <v>306</v>
      </c>
      <c r="B28" s="538"/>
      <c r="C28" s="158">
        <f>+C26+C19+C8</f>
        <v>3122.9</v>
      </c>
      <c r="D28" s="157">
        <f t="shared" ref="D28:I28" si="10">+D26+D19+D8</f>
        <v>421</v>
      </c>
      <c r="E28" s="157">
        <f t="shared" si="10"/>
        <v>430.58384999999998</v>
      </c>
      <c r="F28" s="157">
        <f t="shared" si="10"/>
        <v>295.32499999999999</v>
      </c>
      <c r="G28" s="157">
        <f t="shared" si="10"/>
        <v>236</v>
      </c>
      <c r="H28" s="157">
        <f t="shared" si="10"/>
        <v>147.66249999999999</v>
      </c>
      <c r="I28" s="157">
        <f t="shared" si="10"/>
        <v>1109.5713499999999</v>
      </c>
    </row>
  </sheetData>
  <mergeCells count="19">
    <mergeCell ref="A22:I22"/>
    <mergeCell ref="A26:B26"/>
    <mergeCell ref="A28:B28"/>
    <mergeCell ref="A11:I11"/>
    <mergeCell ref="A19:B19"/>
    <mergeCell ref="C12:D12"/>
    <mergeCell ref="C23:D23"/>
    <mergeCell ref="I4:I5"/>
    <mergeCell ref="A8:B8"/>
    <mergeCell ref="B1:H1"/>
    <mergeCell ref="B2:H2"/>
    <mergeCell ref="A3:I3"/>
    <mergeCell ref="A4:A5"/>
    <mergeCell ref="B4:B5"/>
    <mergeCell ref="E4:E5"/>
    <mergeCell ref="F4:F5"/>
    <mergeCell ref="G4:G5"/>
    <mergeCell ref="H4:H5"/>
    <mergeCell ref="C4:D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8"/>
  <sheetViews>
    <sheetView tabSelected="1" topLeftCell="A61" workbookViewId="0">
      <selection activeCell="B67" sqref="B67"/>
    </sheetView>
  </sheetViews>
  <sheetFormatPr baseColWidth="10" defaultRowHeight="15" x14ac:dyDescent="0.25"/>
  <cols>
    <col min="1" max="1" width="17.85546875" customWidth="1"/>
    <col min="2" max="2" width="27.28515625" customWidth="1"/>
    <col min="3" max="3" width="14.42578125" customWidth="1"/>
    <col min="4" max="4" width="5.7109375" customWidth="1"/>
    <col min="5" max="5" width="16.140625" customWidth="1"/>
    <col min="6" max="6" width="26.5703125" customWidth="1"/>
    <col min="7" max="7" width="17" customWidth="1"/>
    <col min="8" max="8" width="11.85546875" customWidth="1"/>
  </cols>
  <sheetData>
    <row r="2" spans="1:10" x14ac:dyDescent="0.25">
      <c r="H2" s="1" t="s">
        <v>412</v>
      </c>
    </row>
    <row r="3" spans="1:10" x14ac:dyDescent="0.25">
      <c r="B3" s="149" t="s">
        <v>413</v>
      </c>
    </row>
    <row r="4" spans="1:10" x14ac:dyDescent="0.25">
      <c r="A4" t="s">
        <v>414</v>
      </c>
      <c r="B4">
        <v>800</v>
      </c>
      <c r="C4">
        <f>+B4-D9</f>
        <v>663.2</v>
      </c>
      <c r="G4" t="s">
        <v>414</v>
      </c>
      <c r="H4">
        <v>850</v>
      </c>
      <c r="J4">
        <f>+H4-J9</f>
        <v>735.25</v>
      </c>
    </row>
    <row r="5" spans="1:10" x14ac:dyDescent="0.25">
      <c r="A5" t="s">
        <v>415</v>
      </c>
      <c r="B5">
        <v>2011</v>
      </c>
      <c r="G5" t="s">
        <v>416</v>
      </c>
      <c r="H5">
        <v>2012</v>
      </c>
    </row>
    <row r="6" spans="1:10" x14ac:dyDescent="0.25">
      <c r="A6" t="s">
        <v>417</v>
      </c>
      <c r="B6">
        <v>10</v>
      </c>
      <c r="G6" t="s">
        <v>417</v>
      </c>
      <c r="H6">
        <v>10</v>
      </c>
    </row>
    <row r="7" spans="1:10" x14ac:dyDescent="0.25">
      <c r="A7" s="161">
        <v>0.1</v>
      </c>
      <c r="B7">
        <f>+B4*A7</f>
        <v>80</v>
      </c>
      <c r="D7">
        <f>+B8/30</f>
        <v>2.4</v>
      </c>
      <c r="G7" s="161">
        <v>0.1</v>
      </c>
      <c r="H7">
        <f>+H4*G7</f>
        <v>85</v>
      </c>
    </row>
    <row r="8" spans="1:10" x14ac:dyDescent="0.25">
      <c r="A8" t="s">
        <v>418</v>
      </c>
      <c r="B8">
        <f>(+B4-B7)/10</f>
        <v>72</v>
      </c>
      <c r="C8">
        <f>+B9*48</f>
        <v>115.19999999999999</v>
      </c>
      <c r="E8">
        <f>+D7</f>
        <v>2.4</v>
      </c>
      <c r="G8" t="s">
        <v>418</v>
      </c>
      <c r="H8">
        <f>(+H4-H7)/10</f>
        <v>76.5</v>
      </c>
      <c r="I8">
        <f>+H9*36</f>
        <v>91.8</v>
      </c>
    </row>
    <row r="9" spans="1:10" x14ac:dyDescent="0.25">
      <c r="A9" t="s">
        <v>419</v>
      </c>
      <c r="B9">
        <f>+B8/30</f>
        <v>2.4</v>
      </c>
      <c r="C9">
        <f>+B9*9</f>
        <v>21.599999999999998</v>
      </c>
      <c r="D9">
        <f>+C9+C8</f>
        <v>136.79999999999998</v>
      </c>
      <c r="G9" t="s">
        <v>419</v>
      </c>
      <c r="H9">
        <f>+H8/30</f>
        <v>2.5499999999999998</v>
      </c>
      <c r="I9">
        <f>+H9*9</f>
        <v>22.95</v>
      </c>
      <c r="J9">
        <f>+I8+I9</f>
        <v>114.75</v>
      </c>
    </row>
    <row r="10" spans="1:10" x14ac:dyDescent="0.25">
      <c r="A10" t="s">
        <v>420</v>
      </c>
      <c r="B10">
        <f>+B8*5</f>
        <v>360</v>
      </c>
      <c r="C10">
        <v>9</v>
      </c>
      <c r="D10">
        <f>+C10*360</f>
        <v>3240</v>
      </c>
      <c r="E10">
        <f>+D10/12</f>
        <v>270</v>
      </c>
      <c r="G10" t="s">
        <v>420</v>
      </c>
      <c r="H10">
        <f>+H8*4</f>
        <v>306</v>
      </c>
    </row>
    <row r="11" spans="1:10" x14ac:dyDescent="0.25">
      <c r="B11">
        <f>+B10/12</f>
        <v>30</v>
      </c>
    </row>
    <row r="13" spans="1:10" x14ac:dyDescent="0.25">
      <c r="B13" s="1" t="s">
        <v>421</v>
      </c>
      <c r="H13" s="1" t="s">
        <v>422</v>
      </c>
    </row>
    <row r="14" spans="1:10" x14ac:dyDescent="0.25">
      <c r="A14" t="s">
        <v>414</v>
      </c>
      <c r="B14">
        <v>500</v>
      </c>
      <c r="C14">
        <f>+B14-D19</f>
        <v>414.5</v>
      </c>
      <c r="G14" t="s">
        <v>414</v>
      </c>
      <c r="H14">
        <v>5800</v>
      </c>
      <c r="J14">
        <f>+H14-J19</f>
        <v>5017</v>
      </c>
    </row>
    <row r="15" spans="1:10" x14ac:dyDescent="0.25">
      <c r="A15" t="s">
        <v>416</v>
      </c>
      <c r="B15">
        <v>2011</v>
      </c>
      <c r="G15" t="s">
        <v>416</v>
      </c>
      <c r="H15">
        <v>2012</v>
      </c>
    </row>
    <row r="16" spans="1:10" x14ac:dyDescent="0.25">
      <c r="A16" t="s">
        <v>417</v>
      </c>
      <c r="B16">
        <v>10</v>
      </c>
      <c r="G16" t="s">
        <v>417</v>
      </c>
      <c r="H16">
        <v>10</v>
      </c>
    </row>
    <row r="17" spans="1:10" x14ac:dyDescent="0.25">
      <c r="A17" s="161">
        <v>0.1</v>
      </c>
      <c r="B17">
        <f>+B14*A17</f>
        <v>50</v>
      </c>
      <c r="G17" s="161">
        <v>0.1</v>
      </c>
      <c r="H17">
        <f>+H14*G17</f>
        <v>580</v>
      </c>
    </row>
    <row r="18" spans="1:10" x14ac:dyDescent="0.25">
      <c r="A18" t="s">
        <v>418</v>
      </c>
      <c r="B18">
        <f>(+B14-B17)/10</f>
        <v>45</v>
      </c>
      <c r="C18">
        <f>+B19*48</f>
        <v>72</v>
      </c>
      <c r="G18" t="s">
        <v>418</v>
      </c>
      <c r="H18">
        <f>(H14-H17)/10</f>
        <v>522</v>
      </c>
      <c r="I18">
        <f>+H19*36</f>
        <v>626.4</v>
      </c>
    </row>
    <row r="19" spans="1:10" x14ac:dyDescent="0.25">
      <c r="A19" t="s">
        <v>419</v>
      </c>
      <c r="B19">
        <f>+B18/30</f>
        <v>1.5</v>
      </c>
      <c r="C19">
        <f>+B19*9</f>
        <v>13.5</v>
      </c>
      <c r="D19">
        <f>+C18+C19</f>
        <v>85.5</v>
      </c>
      <c r="G19" t="s">
        <v>419</v>
      </c>
      <c r="H19">
        <f>+H18/30</f>
        <v>17.399999999999999</v>
      </c>
      <c r="I19">
        <f>+H19*9</f>
        <v>156.6</v>
      </c>
      <c r="J19">
        <f>+I18+I19</f>
        <v>783</v>
      </c>
    </row>
    <row r="20" spans="1:10" x14ac:dyDescent="0.25">
      <c r="A20" t="s">
        <v>420</v>
      </c>
      <c r="B20">
        <f>+B18*5</f>
        <v>225</v>
      </c>
    </row>
    <row r="21" spans="1:10" x14ac:dyDescent="0.25">
      <c r="G21" t="s">
        <v>420</v>
      </c>
      <c r="H21">
        <f>+H18*4</f>
        <v>2088</v>
      </c>
    </row>
    <row r="24" spans="1:10" x14ac:dyDescent="0.25">
      <c r="B24" s="1" t="s">
        <v>423</v>
      </c>
      <c r="H24" s="1" t="s">
        <v>424</v>
      </c>
    </row>
    <row r="25" spans="1:10" x14ac:dyDescent="0.25">
      <c r="A25" t="s">
        <v>414</v>
      </c>
      <c r="B25">
        <v>4800</v>
      </c>
      <c r="C25">
        <f>+B25-D30</f>
        <v>4497.6000000000004</v>
      </c>
      <c r="G25" t="s">
        <v>414</v>
      </c>
      <c r="H25">
        <v>10000</v>
      </c>
      <c r="I25">
        <f>+H25-J30</f>
        <v>7930</v>
      </c>
    </row>
    <row r="26" spans="1:10" x14ac:dyDescent="0.25">
      <c r="A26" t="s">
        <v>416</v>
      </c>
      <c r="B26">
        <v>2009</v>
      </c>
      <c r="G26" t="s">
        <v>416</v>
      </c>
      <c r="H26">
        <v>2010</v>
      </c>
    </row>
    <row r="27" spans="1:10" x14ac:dyDescent="0.25">
      <c r="A27" t="s">
        <v>417</v>
      </c>
      <c r="B27">
        <v>10</v>
      </c>
      <c r="G27" t="s">
        <v>417</v>
      </c>
      <c r="H27">
        <v>10</v>
      </c>
    </row>
    <row r="28" spans="1:10" x14ac:dyDescent="0.25">
      <c r="A28" s="161">
        <v>0.1</v>
      </c>
      <c r="B28">
        <f>+B25*A28</f>
        <v>480</v>
      </c>
      <c r="G28" s="161">
        <v>0.1</v>
      </c>
      <c r="H28">
        <f>+H25*G28</f>
        <v>1000</v>
      </c>
    </row>
    <row r="29" spans="1:10" x14ac:dyDescent="0.25">
      <c r="A29" t="s">
        <v>418</v>
      </c>
      <c r="B29">
        <f>(B25-B28)/10</f>
        <v>432</v>
      </c>
      <c r="C29">
        <f>+B30*12</f>
        <v>172.8</v>
      </c>
      <c r="G29" t="s">
        <v>418</v>
      </c>
      <c r="H29">
        <f>(+H25-H28)/10</f>
        <v>900</v>
      </c>
      <c r="I29">
        <f>+H30*60</f>
        <v>1800</v>
      </c>
    </row>
    <row r="30" spans="1:10" x14ac:dyDescent="0.25">
      <c r="A30" t="s">
        <v>419</v>
      </c>
      <c r="B30">
        <f>+B29/30</f>
        <v>14.4</v>
      </c>
      <c r="C30">
        <f>+B30*9</f>
        <v>129.6</v>
      </c>
      <c r="D30">
        <f>+C29+C30</f>
        <v>302.39999999999998</v>
      </c>
      <c r="G30" t="s">
        <v>419</v>
      </c>
      <c r="H30">
        <f>+H29/30</f>
        <v>30</v>
      </c>
      <c r="I30">
        <f>+H30*9</f>
        <v>270</v>
      </c>
      <c r="J30">
        <f>+I30+I29</f>
        <v>2070</v>
      </c>
    </row>
    <row r="31" spans="1:10" x14ac:dyDescent="0.25">
      <c r="A31" t="s">
        <v>420</v>
      </c>
      <c r="B31">
        <f>+B29*7</f>
        <v>3024</v>
      </c>
      <c r="G31" t="s">
        <v>420</v>
      </c>
      <c r="H31">
        <f>+H29*6</f>
        <v>5400</v>
      </c>
    </row>
    <row r="35" spans="1:8" x14ac:dyDescent="0.25">
      <c r="B35" s="1" t="s">
        <v>425</v>
      </c>
    </row>
    <row r="36" spans="1:8" x14ac:dyDescent="0.25">
      <c r="A36" t="s">
        <v>414</v>
      </c>
      <c r="B36">
        <v>300</v>
      </c>
      <c r="C36">
        <f>+B36-D41</f>
        <v>216.3</v>
      </c>
    </row>
    <row r="37" spans="1:8" x14ac:dyDescent="0.25">
      <c r="A37" t="s">
        <v>416</v>
      </c>
      <c r="B37">
        <v>2008</v>
      </c>
    </row>
    <row r="38" spans="1:8" x14ac:dyDescent="0.25">
      <c r="A38" t="s">
        <v>417</v>
      </c>
      <c r="B38">
        <v>10</v>
      </c>
    </row>
    <row r="39" spans="1:8" x14ac:dyDescent="0.25">
      <c r="A39" s="161">
        <v>0.1</v>
      </c>
      <c r="B39">
        <f>+B36*A39</f>
        <v>30</v>
      </c>
    </row>
    <row r="40" spans="1:8" x14ac:dyDescent="0.25">
      <c r="A40" t="s">
        <v>418</v>
      </c>
      <c r="B40">
        <f>(+B36-B39)/10</f>
        <v>27</v>
      </c>
      <c r="C40">
        <f>+B41*84</f>
        <v>75.600000000000009</v>
      </c>
    </row>
    <row r="41" spans="1:8" x14ac:dyDescent="0.25">
      <c r="A41" t="s">
        <v>419</v>
      </c>
      <c r="B41">
        <f>+B40/30</f>
        <v>0.9</v>
      </c>
      <c r="C41">
        <f>+B41*9</f>
        <v>8.1</v>
      </c>
      <c r="D41">
        <f>+C40+C41</f>
        <v>83.7</v>
      </c>
    </row>
    <row r="42" spans="1:8" x14ac:dyDescent="0.25">
      <c r="A42" t="s">
        <v>420</v>
      </c>
      <c r="B42">
        <f>+B40*8</f>
        <v>216</v>
      </c>
    </row>
    <row r="47" spans="1:8" ht="15.75" x14ac:dyDescent="0.25">
      <c r="B47" s="13" t="s">
        <v>709</v>
      </c>
      <c r="C47" s="562" t="s">
        <v>268</v>
      </c>
      <c r="D47" s="562"/>
      <c r="E47" s="562"/>
      <c r="F47" s="562"/>
      <c r="G47" s="562"/>
      <c r="H47" s="562"/>
    </row>
    <row r="48" spans="1:8" ht="15.75" x14ac:dyDescent="0.25">
      <c r="C48" s="563" t="s">
        <v>426</v>
      </c>
      <c r="D48" s="563"/>
      <c r="E48" s="563"/>
      <c r="F48" s="563"/>
      <c r="G48" s="563"/>
      <c r="H48" s="563"/>
    </row>
    <row r="49" spans="2:8" ht="15.75" x14ac:dyDescent="0.25">
      <c r="B49" s="162" t="s">
        <v>427</v>
      </c>
      <c r="C49" s="163"/>
      <c r="D49" s="163"/>
      <c r="E49" s="163"/>
      <c r="F49" s="163" t="s">
        <v>428</v>
      </c>
      <c r="G49" s="163"/>
      <c r="H49" s="164"/>
    </row>
    <row r="50" spans="2:8" ht="15.75" x14ac:dyDescent="0.25">
      <c r="B50" s="165" t="s">
        <v>429</v>
      </c>
      <c r="C50" s="166"/>
      <c r="D50" s="166"/>
      <c r="E50" s="166"/>
      <c r="F50" s="166" t="s">
        <v>429</v>
      </c>
      <c r="G50" s="166"/>
      <c r="H50" s="167"/>
    </row>
    <row r="51" spans="2:8" ht="15.75" x14ac:dyDescent="0.25">
      <c r="B51" s="165" t="s">
        <v>430</v>
      </c>
      <c r="C51" s="166"/>
      <c r="D51" s="166"/>
      <c r="E51" s="166"/>
      <c r="F51" s="166" t="s">
        <v>431</v>
      </c>
      <c r="G51" s="166"/>
      <c r="H51" s="167"/>
    </row>
    <row r="52" spans="2:8" ht="15.75" x14ac:dyDescent="0.25">
      <c r="B52" s="165" t="s">
        <v>432</v>
      </c>
      <c r="C52" s="168" t="s">
        <v>433</v>
      </c>
      <c r="D52" s="166">
        <v>72</v>
      </c>
      <c r="E52" s="166"/>
      <c r="F52" s="166" t="s">
        <v>434</v>
      </c>
      <c r="G52" s="168" t="s">
        <v>435</v>
      </c>
      <c r="H52" s="167">
        <v>76.5</v>
      </c>
    </row>
    <row r="53" spans="2:8" ht="15.75" x14ac:dyDescent="0.25">
      <c r="B53" s="169" t="s">
        <v>436</v>
      </c>
      <c r="C53" s="170">
        <v>10</v>
      </c>
      <c r="D53" s="166"/>
      <c r="E53" s="166"/>
      <c r="F53" s="171" t="s">
        <v>436</v>
      </c>
      <c r="G53" s="170">
        <v>10</v>
      </c>
      <c r="H53" s="167"/>
    </row>
    <row r="54" spans="2:8" ht="15.75" x14ac:dyDescent="0.25">
      <c r="B54" s="165" t="s">
        <v>437</v>
      </c>
      <c r="C54" s="166">
        <v>72</v>
      </c>
      <c r="D54" s="177">
        <f>+C54*5</f>
        <v>360</v>
      </c>
      <c r="E54" s="166"/>
      <c r="F54" s="166" t="s">
        <v>437</v>
      </c>
      <c r="G54" s="166">
        <v>76.5</v>
      </c>
      <c r="H54" s="178">
        <f>+G54*4</f>
        <v>306</v>
      </c>
    </row>
    <row r="55" spans="2:8" ht="15.75" x14ac:dyDescent="0.25">
      <c r="B55" s="172" t="s">
        <v>438</v>
      </c>
      <c r="C55" s="173">
        <f>+C54/12</f>
        <v>6</v>
      </c>
      <c r="D55" s="183">
        <f>+C55*10</f>
        <v>60</v>
      </c>
      <c r="E55" s="173"/>
      <c r="F55" s="173" t="s">
        <v>438</v>
      </c>
      <c r="G55" s="174">
        <f>+G54/12</f>
        <v>6.375</v>
      </c>
      <c r="H55" s="185">
        <f>+G55*10</f>
        <v>63.75</v>
      </c>
    </row>
    <row r="56" spans="2:8" ht="15.75" x14ac:dyDescent="0.25">
      <c r="B56" s="165"/>
      <c r="C56" s="166"/>
      <c r="D56" s="166"/>
      <c r="E56" s="166"/>
      <c r="F56" s="166"/>
      <c r="G56" s="175"/>
      <c r="H56" s="167"/>
    </row>
    <row r="57" spans="2:8" ht="15.75" x14ac:dyDescent="0.25">
      <c r="B57" s="176" t="s">
        <v>439</v>
      </c>
      <c r="C57" s="177">
        <f>+C54*5</f>
        <v>360</v>
      </c>
      <c r="D57" s="177"/>
      <c r="E57" s="177"/>
      <c r="F57" s="177" t="s">
        <v>439</v>
      </c>
      <c r="G57" s="177">
        <f>+G54*4</f>
        <v>306</v>
      </c>
      <c r="H57" s="178"/>
    </row>
    <row r="58" spans="2:8" ht="15.75" x14ac:dyDescent="0.25">
      <c r="B58" s="162" t="s">
        <v>440</v>
      </c>
      <c r="C58" s="163"/>
      <c r="D58" s="163"/>
      <c r="E58" s="163"/>
      <c r="F58" s="163" t="s">
        <v>441</v>
      </c>
      <c r="G58" s="163"/>
      <c r="H58" s="164"/>
    </row>
    <row r="59" spans="2:8" ht="15.75" x14ac:dyDescent="0.25">
      <c r="B59" s="165" t="s">
        <v>429</v>
      </c>
      <c r="C59" s="166"/>
      <c r="D59" s="166"/>
      <c r="E59" s="166"/>
      <c r="F59" s="166" t="s">
        <v>429</v>
      </c>
      <c r="G59" s="166"/>
      <c r="H59" s="167"/>
    </row>
    <row r="60" spans="2:8" ht="15.75" x14ac:dyDescent="0.25">
      <c r="B60" s="165" t="s">
        <v>430</v>
      </c>
      <c r="C60" s="166"/>
      <c r="D60" s="166"/>
      <c r="E60" s="166"/>
      <c r="F60" s="166" t="s">
        <v>430</v>
      </c>
      <c r="G60" s="166"/>
      <c r="H60" s="167"/>
    </row>
    <row r="61" spans="2:8" ht="15.75" x14ac:dyDescent="0.25">
      <c r="B61" s="165" t="s">
        <v>432</v>
      </c>
      <c r="C61" s="168" t="s">
        <v>442</v>
      </c>
      <c r="D61" s="166">
        <v>45</v>
      </c>
      <c r="E61" s="166"/>
      <c r="F61" s="166" t="s">
        <v>432</v>
      </c>
      <c r="G61" s="168" t="s">
        <v>443</v>
      </c>
      <c r="H61" s="167">
        <v>522</v>
      </c>
    </row>
    <row r="62" spans="2:8" ht="15.75" x14ac:dyDescent="0.25">
      <c r="B62" s="169" t="s">
        <v>436</v>
      </c>
      <c r="C62" s="170">
        <v>10</v>
      </c>
      <c r="D62" s="166"/>
      <c r="E62" s="166"/>
      <c r="F62" s="171" t="s">
        <v>436</v>
      </c>
      <c r="G62" s="170">
        <v>10</v>
      </c>
      <c r="H62" s="167"/>
    </row>
    <row r="63" spans="2:8" ht="15.75" x14ac:dyDescent="0.25">
      <c r="B63" s="165" t="s">
        <v>437</v>
      </c>
      <c r="C63" s="166">
        <v>45</v>
      </c>
      <c r="D63" s="177">
        <f>+C63*5</f>
        <v>225</v>
      </c>
      <c r="E63" s="166"/>
      <c r="F63" s="166" t="s">
        <v>437</v>
      </c>
      <c r="G63" s="166">
        <v>522</v>
      </c>
      <c r="H63" s="178">
        <f>+G63*5</f>
        <v>2610</v>
      </c>
    </row>
    <row r="64" spans="2:8" ht="15.75" x14ac:dyDescent="0.25">
      <c r="B64" s="172" t="s">
        <v>438</v>
      </c>
      <c r="C64" s="173">
        <f>+C63/12</f>
        <v>3.75</v>
      </c>
      <c r="D64" s="183">
        <f>+C64*10</f>
        <v>37.5</v>
      </c>
      <c r="E64" s="173"/>
      <c r="F64" s="173" t="s">
        <v>438</v>
      </c>
      <c r="G64" s="173">
        <f>+G63/12</f>
        <v>43.5</v>
      </c>
      <c r="H64" s="185">
        <f>+G64*10</f>
        <v>435</v>
      </c>
    </row>
    <row r="65" spans="2:9" ht="15.75" x14ac:dyDescent="0.25">
      <c r="B65" s="165"/>
      <c r="C65" s="166">
        <f>+C63*4</f>
        <v>180</v>
      </c>
      <c r="D65" s="133">
        <f>+D64+C65</f>
        <v>217.5</v>
      </c>
      <c r="E65" s="166"/>
      <c r="F65" s="166"/>
      <c r="G65" s="166"/>
      <c r="H65" s="167"/>
    </row>
    <row r="66" spans="2:9" ht="15.75" x14ac:dyDescent="0.25">
      <c r="B66" s="176" t="s">
        <v>439</v>
      </c>
      <c r="C66" s="177">
        <f>+C63*5</f>
        <v>225</v>
      </c>
      <c r="D66" s="177"/>
      <c r="E66" s="177"/>
      <c r="F66" s="177" t="s">
        <v>439</v>
      </c>
      <c r="G66" s="177">
        <f>+G63*5</f>
        <v>2610</v>
      </c>
      <c r="H66" s="167"/>
    </row>
    <row r="67" spans="2:9" ht="15.75" x14ac:dyDescent="0.25">
      <c r="B67" s="162" t="s">
        <v>444</v>
      </c>
      <c r="C67" s="163"/>
      <c r="D67" s="163"/>
      <c r="E67" s="163"/>
      <c r="F67" s="163" t="s">
        <v>710</v>
      </c>
      <c r="G67" s="163"/>
      <c r="H67" s="164"/>
    </row>
    <row r="68" spans="2:9" ht="15.75" x14ac:dyDescent="0.25">
      <c r="B68" s="165" t="s">
        <v>429</v>
      </c>
      <c r="C68" s="166"/>
      <c r="D68" s="166"/>
      <c r="E68" s="166"/>
      <c r="F68" s="166" t="s">
        <v>429</v>
      </c>
      <c r="G68" s="166"/>
      <c r="H68" s="167"/>
    </row>
    <row r="69" spans="2:9" ht="15.75" x14ac:dyDescent="0.25">
      <c r="B69" s="165" t="s">
        <v>445</v>
      </c>
      <c r="C69" s="166"/>
      <c r="D69" s="166"/>
      <c r="E69" s="166"/>
      <c r="F69" s="166" t="s">
        <v>446</v>
      </c>
      <c r="G69" s="166"/>
      <c r="H69" s="167"/>
    </row>
    <row r="70" spans="2:9" ht="15.75" x14ac:dyDescent="0.25">
      <c r="B70" s="165" t="s">
        <v>432</v>
      </c>
      <c r="C70" s="168" t="s">
        <v>447</v>
      </c>
      <c r="D70" s="179">
        <v>432</v>
      </c>
      <c r="E70" s="166"/>
      <c r="F70" s="166" t="s">
        <v>432</v>
      </c>
      <c r="G70" s="168" t="s">
        <v>448</v>
      </c>
      <c r="H70" s="180">
        <v>900</v>
      </c>
    </row>
    <row r="71" spans="2:9" ht="15.75" x14ac:dyDescent="0.25">
      <c r="B71" s="169" t="s">
        <v>436</v>
      </c>
      <c r="C71" s="170">
        <v>10</v>
      </c>
      <c r="D71" s="179"/>
      <c r="E71" s="166"/>
      <c r="F71" s="171" t="s">
        <v>436</v>
      </c>
      <c r="G71" s="170">
        <v>10</v>
      </c>
      <c r="H71" s="167"/>
    </row>
    <row r="72" spans="2:9" ht="15.75" x14ac:dyDescent="0.25">
      <c r="B72" s="165" t="s">
        <v>437</v>
      </c>
      <c r="C72" s="166">
        <v>432</v>
      </c>
      <c r="D72" s="450">
        <f>+C72*7</f>
        <v>3024</v>
      </c>
      <c r="E72" s="166"/>
      <c r="F72" s="166" t="s">
        <v>437</v>
      </c>
      <c r="G72" s="166">
        <v>900</v>
      </c>
      <c r="H72" s="178">
        <f>+G72*6</f>
        <v>5400</v>
      </c>
    </row>
    <row r="73" spans="2:9" ht="15.75" x14ac:dyDescent="0.25">
      <c r="B73" s="165" t="s">
        <v>438</v>
      </c>
      <c r="C73" s="166">
        <f>+C72/12</f>
        <v>36</v>
      </c>
      <c r="D73" s="450">
        <f>+C73*10</f>
        <v>360</v>
      </c>
      <c r="E73" s="166"/>
      <c r="F73" s="166" t="s">
        <v>438</v>
      </c>
      <c r="G73" s="166">
        <f>+G72/12</f>
        <v>75</v>
      </c>
      <c r="H73" s="178">
        <f>+G73*10</f>
        <v>750</v>
      </c>
      <c r="I73" s="181"/>
    </row>
    <row r="74" spans="2:9" ht="15.75" x14ac:dyDescent="0.25">
      <c r="B74" s="165"/>
      <c r="C74" s="177">
        <f>+C72*6</f>
        <v>2592</v>
      </c>
      <c r="D74" s="452">
        <f>+C74+D73</f>
        <v>2952</v>
      </c>
      <c r="E74" s="166"/>
      <c r="F74" s="166"/>
      <c r="G74" s="166">
        <f>+G72*5</f>
        <v>4500</v>
      </c>
      <c r="H74" s="451">
        <f>+G74+H73</f>
        <v>5250</v>
      </c>
      <c r="I74" s="39"/>
    </row>
    <row r="75" spans="2:9" ht="15.75" x14ac:dyDescent="0.25">
      <c r="B75" s="182" t="s">
        <v>439</v>
      </c>
      <c r="C75" s="183">
        <f>+C72*5</f>
        <v>2160</v>
      </c>
      <c r="D75" s="184"/>
      <c r="E75" s="183"/>
      <c r="F75" s="183" t="s">
        <v>439</v>
      </c>
      <c r="G75" s="183">
        <f>+G72*5</f>
        <v>4500</v>
      </c>
      <c r="H75" s="185"/>
    </row>
    <row r="76" spans="2:9" ht="15.75" x14ac:dyDescent="0.25">
      <c r="B76" s="165"/>
      <c r="C76" s="166"/>
      <c r="D76" s="179"/>
      <c r="E76" s="166"/>
      <c r="F76" s="166"/>
      <c r="G76" s="166"/>
      <c r="H76" s="167"/>
    </row>
    <row r="77" spans="2:9" ht="15.75" x14ac:dyDescent="0.25">
      <c r="B77" s="165" t="s">
        <v>449</v>
      </c>
      <c r="C77" s="166"/>
      <c r="D77" s="179"/>
      <c r="E77" s="166"/>
      <c r="F77" s="166" t="s">
        <v>706</v>
      </c>
      <c r="G77" s="166"/>
      <c r="H77" s="167"/>
    </row>
    <row r="78" spans="2:9" ht="15.75" x14ac:dyDescent="0.25">
      <c r="B78" s="165" t="s">
        <v>429</v>
      </c>
      <c r="C78" s="166"/>
      <c r="D78" s="179"/>
      <c r="E78" s="166"/>
      <c r="F78" s="166" t="s">
        <v>429</v>
      </c>
      <c r="G78" s="166"/>
      <c r="H78" s="167"/>
    </row>
    <row r="79" spans="2:9" ht="15.75" x14ac:dyDescent="0.25">
      <c r="B79" s="165" t="s">
        <v>450</v>
      </c>
      <c r="C79" s="166"/>
      <c r="D79" s="179"/>
      <c r="E79" s="166"/>
      <c r="F79" s="166" t="s">
        <v>445</v>
      </c>
      <c r="G79" s="166"/>
      <c r="H79" s="167"/>
    </row>
    <row r="80" spans="2:9" ht="15.75" x14ac:dyDescent="0.25">
      <c r="B80" s="165" t="s">
        <v>432</v>
      </c>
      <c r="C80" s="168" t="s">
        <v>451</v>
      </c>
      <c r="D80" s="179">
        <v>27</v>
      </c>
      <c r="E80" s="166"/>
      <c r="F80" s="166" t="s">
        <v>432</v>
      </c>
      <c r="G80" s="173" t="s">
        <v>707</v>
      </c>
      <c r="H80" s="167">
        <v>86.85</v>
      </c>
    </row>
    <row r="81" spans="1:8" ht="15.75" x14ac:dyDescent="0.25">
      <c r="B81" s="169" t="s">
        <v>436</v>
      </c>
      <c r="C81" s="170">
        <v>10</v>
      </c>
      <c r="D81" s="166"/>
      <c r="E81" s="166"/>
      <c r="F81" s="171" t="s">
        <v>436</v>
      </c>
      <c r="G81" s="170">
        <v>10</v>
      </c>
      <c r="H81" s="167"/>
    </row>
    <row r="82" spans="1:8" ht="15.75" x14ac:dyDescent="0.25">
      <c r="B82" s="165" t="s">
        <v>437</v>
      </c>
      <c r="C82" s="166">
        <v>27</v>
      </c>
      <c r="D82" s="177">
        <f>+C82*8</f>
        <v>216</v>
      </c>
      <c r="E82" s="166"/>
      <c r="F82" s="166" t="s">
        <v>437</v>
      </c>
      <c r="G82" s="166">
        <v>86.85</v>
      </c>
      <c r="H82" s="178">
        <f>+G82*7</f>
        <v>607.94999999999993</v>
      </c>
    </row>
    <row r="83" spans="1:8" ht="15.75" x14ac:dyDescent="0.25">
      <c r="B83" s="165" t="s">
        <v>438</v>
      </c>
      <c r="C83" s="166">
        <f>+C82/12</f>
        <v>2.25</v>
      </c>
      <c r="D83" s="177">
        <f>+C83*10</f>
        <v>22.5</v>
      </c>
      <c r="E83" s="166"/>
      <c r="F83" s="166" t="s">
        <v>438</v>
      </c>
      <c r="G83" s="166">
        <f>+G82/12</f>
        <v>7.2374999999999998</v>
      </c>
      <c r="H83" s="178">
        <f>+G83*10</f>
        <v>72.375</v>
      </c>
    </row>
    <row r="84" spans="1:8" ht="15.75" x14ac:dyDescent="0.25">
      <c r="B84" s="165"/>
      <c r="C84" s="177">
        <f>+C82*7</f>
        <v>189</v>
      </c>
      <c r="D84" s="453">
        <f>+C84+D83</f>
        <v>211.5</v>
      </c>
      <c r="E84" s="166"/>
      <c r="F84" s="166"/>
      <c r="G84" s="177">
        <f>+G82*6</f>
        <v>521.09999999999991</v>
      </c>
      <c r="H84" s="178">
        <f>+H83+G84</f>
        <v>593.47499999999991</v>
      </c>
    </row>
    <row r="85" spans="1:8" ht="15.75" x14ac:dyDescent="0.25">
      <c r="B85" s="182" t="s">
        <v>439</v>
      </c>
      <c r="C85" s="183">
        <f>+C82*5</f>
        <v>135</v>
      </c>
      <c r="D85" s="183"/>
      <c r="E85" s="183"/>
      <c r="F85" s="183"/>
      <c r="G85" s="183"/>
      <c r="H85" s="185"/>
    </row>
    <row r="86" spans="1:8" ht="15.75" x14ac:dyDescent="0.25">
      <c r="A86" s="39"/>
      <c r="B86" s="133" t="s">
        <v>452</v>
      </c>
    </row>
    <row r="88" spans="1:8" x14ac:dyDescent="0.25">
      <c r="B88" s="39"/>
    </row>
  </sheetData>
  <mergeCells count="2">
    <mergeCell ref="C47:H47"/>
    <mergeCell ref="C48:H48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topLeftCell="A10" workbookViewId="0">
      <selection activeCell="G23" sqref="G23"/>
    </sheetView>
  </sheetViews>
  <sheetFormatPr baseColWidth="10" defaultRowHeight="15" x14ac:dyDescent="0.25"/>
  <cols>
    <col min="1" max="1" width="9.7109375" customWidth="1"/>
    <col min="2" max="2" width="51.7109375" customWidth="1"/>
  </cols>
  <sheetData>
    <row r="1" spans="2:8" ht="15.75" x14ac:dyDescent="0.25">
      <c r="B1" s="536" t="s">
        <v>268</v>
      </c>
      <c r="C1" s="536"/>
      <c r="D1" s="536"/>
      <c r="E1" s="536"/>
      <c r="F1" s="536"/>
      <c r="G1" s="536"/>
      <c r="H1" s="220"/>
    </row>
    <row r="2" spans="2:8" x14ac:dyDescent="0.25">
      <c r="B2" s="564" t="s">
        <v>472</v>
      </c>
      <c r="C2" s="564"/>
      <c r="D2" s="564"/>
      <c r="E2" s="564"/>
      <c r="F2" s="564"/>
      <c r="G2" s="564"/>
    </row>
    <row r="3" spans="2:8" x14ac:dyDescent="0.25">
      <c r="B3" s="564" t="s">
        <v>473</v>
      </c>
      <c r="C3" s="564"/>
      <c r="D3" s="564"/>
      <c r="E3" s="564"/>
      <c r="F3" s="564"/>
      <c r="G3" s="564"/>
    </row>
    <row r="5" spans="2:8" x14ac:dyDescent="0.25">
      <c r="B5" s="269" t="s">
        <v>509</v>
      </c>
      <c r="D5" s="281"/>
    </row>
    <row r="6" spans="2:8" x14ac:dyDescent="0.25">
      <c r="B6" s="269" t="s">
        <v>510</v>
      </c>
      <c r="D6" s="281"/>
    </row>
    <row r="7" spans="2:8" x14ac:dyDescent="0.25">
      <c r="B7" s="217" t="s">
        <v>511</v>
      </c>
      <c r="D7" s="283"/>
      <c r="E7" s="39"/>
    </row>
    <row r="8" spans="2:8" x14ac:dyDescent="0.25">
      <c r="B8" s="269" t="s">
        <v>512</v>
      </c>
      <c r="D8" s="282"/>
    </row>
    <row r="9" spans="2:8" x14ac:dyDescent="0.25">
      <c r="B9" s="217" t="s">
        <v>459</v>
      </c>
      <c r="C9" s="35">
        <f>+'hoja de costos '!E15+'hoja de costos '!E28+'hoja de costos '!E46+'hoja de costos '!E64+'hoja de costos '!E81+'hoja de costos '!E97+'hoja de costos '!E116+'hoja de costos '!E130+'hoja de costos '!E149+'hoja de costos '!E166+'hoja de costos '!E184+'hoja de costos '!E203+'hoja de costos '!E218+'hoja de costos '!E237+'hoja de costos '!E252</f>
        <v>3.8129516666666672</v>
      </c>
    </row>
    <row r="10" spans="2:8" x14ac:dyDescent="0.25">
      <c r="B10" s="217" t="s">
        <v>460</v>
      </c>
      <c r="C10" s="35">
        <f>+'hoja de costos '!J15+'hoja de costos '!J28+'hoja de costos '!J46+'hoja de costos '!J64+'hoja de costos '!J81+'hoja de costos '!J97+'hoja de costos '!J116+'hoja de costos '!J130+'hoja de costos '!J149+'hoja de costos '!J166+'hoja de costos '!J184+'hoja de costos '!J203+'hoja de costos '!J218+'hoja de costos '!J237+'hoja de costos '!J252</f>
        <v>22.3454771180363</v>
      </c>
    </row>
    <row r="11" spans="2:8" x14ac:dyDescent="0.25">
      <c r="B11" s="217" t="s">
        <v>461</v>
      </c>
      <c r="C11" s="35">
        <f>+'hoja de costos '!N15+'hoja de costos '!N28+'hoja de costos '!N46+'hoja de costos '!N64+'hoja de costos '!N81+'hoja de costos '!N97+'hoja de costos '!N116+'hoja de costos '!N130+'hoja de costos '!N149+'hoja de costos '!N166+'hoja de costos '!N184+'hoja de costos '!N203+'hoja de costos '!N218+'hoja de costos '!N237+'hoja de costos '!N252</f>
        <v>17.202725694785823</v>
      </c>
    </row>
    <row r="12" spans="2:8" x14ac:dyDescent="0.25">
      <c r="B12" s="217" t="s">
        <v>462</v>
      </c>
      <c r="C12" s="35">
        <f>SUM(C9:C11)</f>
        <v>43.361154479488789</v>
      </c>
    </row>
    <row r="13" spans="2:8" x14ac:dyDescent="0.25">
      <c r="B13" s="218" t="s">
        <v>463</v>
      </c>
      <c r="C13" s="4">
        <v>0</v>
      </c>
    </row>
    <row r="14" spans="2:8" x14ac:dyDescent="0.25">
      <c r="B14" s="217" t="s">
        <v>464</v>
      </c>
      <c r="C14" s="35">
        <f>+C12+C13</f>
        <v>43.361154479488789</v>
      </c>
    </row>
    <row r="15" spans="2:8" x14ac:dyDescent="0.25">
      <c r="B15" s="218" t="s">
        <v>465</v>
      </c>
      <c r="C15" s="35">
        <f>+'Mayorización '!A22</f>
        <v>1978.6979615451046</v>
      </c>
    </row>
    <row r="16" spans="2:8" x14ac:dyDescent="0.25">
      <c r="B16" s="217" t="s">
        <v>466</v>
      </c>
      <c r="C16" s="35">
        <f>+C14-C15</f>
        <v>-1935.3368070656159</v>
      </c>
    </row>
    <row r="17" spans="2:3" x14ac:dyDescent="0.25">
      <c r="B17" s="218" t="s">
        <v>467</v>
      </c>
      <c r="C17">
        <v>0</v>
      </c>
    </row>
    <row r="18" spans="2:3" x14ac:dyDescent="0.25">
      <c r="B18" s="217" t="s">
        <v>468</v>
      </c>
      <c r="C18" s="35">
        <f>+C16+C17</f>
        <v>-1935.3368070656159</v>
      </c>
    </row>
    <row r="19" spans="2:3" x14ac:dyDescent="0.25">
      <c r="B19" s="218" t="s">
        <v>469</v>
      </c>
      <c r="C19">
        <v>0</v>
      </c>
    </row>
    <row r="20" spans="2:3" x14ac:dyDescent="0.25">
      <c r="B20" s="217" t="s">
        <v>470</v>
      </c>
      <c r="C20" s="35">
        <f>+C18-C19</f>
        <v>-1935.3368070656159</v>
      </c>
    </row>
    <row r="21" spans="2:3" x14ac:dyDescent="0.25">
      <c r="B21" s="269" t="s">
        <v>507</v>
      </c>
      <c r="C21" s="35">
        <f>+'Mayorización '!J104</f>
        <v>-17.202725694785823</v>
      </c>
    </row>
    <row r="22" spans="2:3" x14ac:dyDescent="0.25">
      <c r="B22" s="217" t="s">
        <v>471</v>
      </c>
      <c r="C22" s="35">
        <f>+C20+C21</f>
        <v>-1952.5395327604017</v>
      </c>
    </row>
  </sheetData>
  <mergeCells count="3">
    <mergeCell ref="B2:G2"/>
    <mergeCell ref="B1:G1"/>
    <mergeCell ref="B3:G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42"/>
  <sheetViews>
    <sheetView topLeftCell="A4" workbookViewId="0">
      <selection activeCell="B18" sqref="B18:D18"/>
    </sheetView>
  </sheetViews>
  <sheetFormatPr baseColWidth="10" defaultRowHeight="15" x14ac:dyDescent="0.25"/>
  <cols>
    <col min="3" max="3" width="36" customWidth="1"/>
    <col min="4" max="4" width="15.85546875" customWidth="1"/>
    <col min="5" max="5" width="4.140625" customWidth="1"/>
    <col min="6" max="6" width="15.85546875" customWidth="1"/>
    <col min="8" max="8" width="19" customWidth="1"/>
    <col min="9" max="9" width="20.5703125" customWidth="1"/>
    <col min="10" max="10" width="5" customWidth="1"/>
    <col min="12" max="12" width="4.42578125" customWidth="1"/>
  </cols>
  <sheetData>
    <row r="3" spans="2:13" ht="15.75" x14ac:dyDescent="0.25">
      <c r="B3" s="565" t="s">
        <v>635</v>
      </c>
      <c r="C3" s="566"/>
      <c r="D3" s="227"/>
      <c r="E3" s="227"/>
      <c r="F3" s="228"/>
      <c r="I3" s="565" t="s">
        <v>636</v>
      </c>
      <c r="J3" s="566"/>
      <c r="K3" s="227"/>
      <c r="L3" s="227"/>
      <c r="M3" s="228"/>
    </row>
    <row r="4" spans="2:13" x14ac:dyDescent="0.25">
      <c r="B4" s="230"/>
      <c r="C4" s="39"/>
      <c r="D4" s="409"/>
      <c r="E4" s="409"/>
      <c r="F4" s="231"/>
      <c r="I4" s="230"/>
      <c r="J4" s="39"/>
      <c r="K4" s="39"/>
      <c r="L4" s="39"/>
      <c r="M4" s="231"/>
    </row>
    <row r="5" spans="2:13" ht="33.75" customHeight="1" x14ac:dyDescent="0.25">
      <c r="B5" s="572" t="s">
        <v>482</v>
      </c>
      <c r="C5" s="573"/>
      <c r="D5" s="573"/>
      <c r="E5" s="573"/>
      <c r="F5" s="574"/>
      <c r="I5" s="567" t="s">
        <v>613</v>
      </c>
      <c r="J5" s="568"/>
      <c r="K5" s="568"/>
      <c r="L5" s="568"/>
      <c r="M5" s="569"/>
    </row>
    <row r="6" spans="2:13" ht="15.75" x14ac:dyDescent="0.25">
      <c r="B6" s="431"/>
      <c r="C6" s="39"/>
      <c r="D6" s="409"/>
      <c r="E6" s="409"/>
      <c r="F6" s="231"/>
      <c r="I6" s="226"/>
      <c r="J6" s="39"/>
      <c r="K6" s="39"/>
      <c r="L6" s="39"/>
      <c r="M6" s="233"/>
    </row>
    <row r="7" spans="2:13" ht="15.75" x14ac:dyDescent="0.25">
      <c r="B7" s="230"/>
      <c r="C7" s="406" t="s">
        <v>483</v>
      </c>
      <c r="D7" s="302">
        <v>296</v>
      </c>
      <c r="E7" s="302"/>
      <c r="F7" s="432"/>
      <c r="I7" s="235" t="s">
        <v>484</v>
      </c>
      <c r="J7" s="236" t="s">
        <v>485</v>
      </c>
      <c r="K7" s="237">
        <f>+'[2]presupuesto par el 2015'!$N$32</f>
        <v>46563.398000000001</v>
      </c>
      <c r="L7" s="225" t="s">
        <v>485</v>
      </c>
      <c r="M7" s="238">
        <f>+K7/K8</f>
        <v>7.460887357795225</v>
      </c>
    </row>
    <row r="8" spans="2:13" ht="16.5" thickBot="1" x14ac:dyDescent="0.3">
      <c r="B8" s="407" t="s">
        <v>486</v>
      </c>
      <c r="C8" s="406" t="s">
        <v>487</v>
      </c>
      <c r="D8" s="302">
        <v>7</v>
      </c>
      <c r="E8" s="302"/>
      <c r="F8" s="432"/>
      <c r="I8" s="239" t="s">
        <v>488</v>
      </c>
      <c r="J8" s="236"/>
      <c r="K8" s="268">
        <v>6241</v>
      </c>
      <c r="L8" s="39"/>
      <c r="M8" s="233"/>
    </row>
    <row r="9" spans="2:13" ht="15.75" x14ac:dyDescent="0.25">
      <c r="B9" s="407" t="s">
        <v>485</v>
      </c>
      <c r="C9" s="406" t="s">
        <v>489</v>
      </c>
      <c r="D9" s="439">
        <v>2072</v>
      </c>
      <c r="E9" s="436"/>
      <c r="F9" s="438"/>
      <c r="I9" s="226"/>
      <c r="J9" s="39"/>
      <c r="K9" s="39"/>
      <c r="L9" s="39"/>
      <c r="M9" s="233"/>
    </row>
    <row r="10" spans="2:13" ht="16.5" thickBot="1" x14ac:dyDescent="0.3">
      <c r="B10" s="407" t="s">
        <v>486</v>
      </c>
      <c r="C10" s="406" t="s">
        <v>490</v>
      </c>
      <c r="D10" s="440">
        <v>5</v>
      </c>
      <c r="E10" s="302"/>
      <c r="F10" s="432"/>
      <c r="I10" s="226"/>
      <c r="J10" s="39"/>
      <c r="K10" s="39"/>
      <c r="L10" s="39"/>
      <c r="M10" s="233"/>
    </row>
    <row r="11" spans="2:13" ht="15.75" x14ac:dyDescent="0.25">
      <c r="B11" s="407" t="s">
        <v>485</v>
      </c>
      <c r="C11" s="236" t="s">
        <v>488</v>
      </c>
      <c r="D11" s="437">
        <f>+D9*D10</f>
        <v>10360</v>
      </c>
      <c r="E11" s="437"/>
      <c r="F11" s="433"/>
      <c r="I11" s="495" t="s">
        <v>491</v>
      </c>
      <c r="J11" s="494"/>
      <c r="K11" s="494"/>
      <c r="L11" s="39"/>
      <c r="M11" s="233"/>
    </row>
    <row r="12" spans="2:13" x14ac:dyDescent="0.25">
      <c r="B12" s="230"/>
      <c r="C12" s="39"/>
      <c r="D12" s="409"/>
      <c r="E12" s="409"/>
      <c r="F12" s="231"/>
      <c r="G12" s="39"/>
      <c r="I12" s="240"/>
      <c r="J12" s="241"/>
      <c r="K12" s="241"/>
      <c r="L12" s="241"/>
      <c r="M12" s="242"/>
    </row>
    <row r="13" spans="2:13" x14ac:dyDescent="0.25">
      <c r="B13" s="230"/>
      <c r="C13" s="39"/>
      <c r="D13" s="409"/>
      <c r="E13" s="409"/>
      <c r="F13" s="231"/>
      <c r="I13" s="409"/>
      <c r="J13" s="409"/>
      <c r="K13" s="409"/>
      <c r="L13" s="409"/>
      <c r="M13" s="409"/>
    </row>
    <row r="14" spans="2:13" ht="15.75" x14ac:dyDescent="0.25">
      <c r="B14" s="230"/>
      <c r="C14" s="236" t="s">
        <v>701</v>
      </c>
      <c r="D14" s="430">
        <v>10360</v>
      </c>
      <c r="E14" s="437" t="s">
        <v>485</v>
      </c>
      <c r="F14" s="435">
        <f>+D14/D15</f>
        <v>863.33333333333337</v>
      </c>
      <c r="G14" s="39"/>
      <c r="I14" s="409"/>
      <c r="J14" s="409"/>
      <c r="K14" s="409"/>
      <c r="L14" s="409"/>
      <c r="M14" s="409"/>
    </row>
    <row r="15" spans="2:13" ht="15.75" x14ac:dyDescent="0.25">
      <c r="B15" s="230"/>
      <c r="C15" s="236"/>
      <c r="D15" s="437">
        <v>12</v>
      </c>
      <c r="E15" s="437"/>
      <c r="F15" s="433"/>
      <c r="G15" s="39"/>
      <c r="I15" s="409"/>
      <c r="J15" s="409"/>
      <c r="K15" s="409"/>
      <c r="L15" s="409"/>
      <c r="M15" s="409"/>
    </row>
    <row r="16" spans="2:13" ht="15.75" x14ac:dyDescent="0.25">
      <c r="B16" s="230"/>
      <c r="C16" s="236"/>
      <c r="D16" s="236"/>
      <c r="E16" s="236"/>
      <c r="F16" s="434"/>
      <c r="G16" s="39"/>
    </row>
    <row r="17" spans="2:9" x14ac:dyDescent="0.25">
      <c r="B17" s="230"/>
      <c r="C17" s="39"/>
      <c r="D17" s="409"/>
      <c r="E17" s="409"/>
      <c r="F17" s="231"/>
    </row>
    <row r="18" spans="2:9" ht="15.75" x14ac:dyDescent="0.25">
      <c r="B18" s="570" t="s">
        <v>492</v>
      </c>
      <c r="C18" s="571"/>
      <c r="D18" s="571"/>
      <c r="E18" s="361"/>
      <c r="F18" s="441"/>
    </row>
    <row r="20" spans="2:9" x14ac:dyDescent="0.25">
      <c r="C20" t="s">
        <v>700</v>
      </c>
    </row>
    <row r="24" spans="2:9" x14ac:dyDescent="0.25">
      <c r="D24" t="s">
        <v>494</v>
      </c>
    </row>
    <row r="26" spans="2:9" ht="61.5" customHeight="1" x14ac:dyDescent="0.25">
      <c r="D26" s="243" t="s">
        <v>500</v>
      </c>
      <c r="E26" s="427"/>
      <c r="F26" s="427"/>
      <c r="H26" s="243" t="s">
        <v>656</v>
      </c>
    </row>
    <row r="27" spans="2:9" x14ac:dyDescent="0.25">
      <c r="D27">
        <v>10360</v>
      </c>
      <c r="H27" s="243">
        <v>10411</v>
      </c>
    </row>
    <row r="28" spans="2:9" x14ac:dyDescent="0.25">
      <c r="H28">
        <v>6272</v>
      </c>
      <c r="I28">
        <f>+H28*D27</f>
        <v>64977920</v>
      </c>
    </row>
    <row r="29" spans="2:9" x14ac:dyDescent="0.25">
      <c r="I29" s="221">
        <f>+I28/H27</f>
        <v>6241.2755739122085</v>
      </c>
    </row>
    <row r="33" spans="3:9" ht="15.75" x14ac:dyDescent="0.25">
      <c r="C33" s="565" t="s">
        <v>636</v>
      </c>
      <c r="D33" s="566"/>
      <c r="E33" s="408"/>
      <c r="F33" s="408"/>
      <c r="G33" s="227"/>
      <c r="H33" s="227"/>
      <c r="I33" s="228"/>
    </row>
    <row r="34" spans="3:9" x14ac:dyDescent="0.25">
      <c r="C34" s="230"/>
      <c r="D34" s="39"/>
      <c r="E34" s="39"/>
      <c r="F34" s="39"/>
      <c r="G34" s="39"/>
      <c r="H34" s="39"/>
      <c r="I34" s="231"/>
    </row>
    <row r="35" spans="3:9" ht="15.75" x14ac:dyDescent="0.25">
      <c r="C35" s="567" t="s">
        <v>613</v>
      </c>
      <c r="D35" s="568"/>
      <c r="E35" s="568"/>
      <c r="F35" s="568"/>
      <c r="G35" s="568"/>
      <c r="H35" s="568"/>
      <c r="I35" s="569"/>
    </row>
    <row r="36" spans="3:9" ht="15.75" x14ac:dyDescent="0.25">
      <c r="C36" s="347"/>
      <c r="D36" s="39"/>
      <c r="E36" s="39"/>
      <c r="F36" s="39"/>
      <c r="G36" s="39"/>
      <c r="H36" s="39"/>
      <c r="I36" s="233"/>
    </row>
    <row r="37" spans="3:9" ht="15.75" x14ac:dyDescent="0.25">
      <c r="C37" s="235" t="s">
        <v>484</v>
      </c>
      <c r="D37" s="236" t="s">
        <v>485</v>
      </c>
      <c r="E37" s="236"/>
      <c r="F37" s="236"/>
      <c r="G37" s="237">
        <f>+'[2]presupuesto par el 2015'!$N$32</f>
        <v>46563.398000000001</v>
      </c>
      <c r="H37" s="348" t="s">
        <v>485</v>
      </c>
      <c r="I37" s="238">
        <f>+G37/G38</f>
        <v>4.4725192584766118</v>
      </c>
    </row>
    <row r="38" spans="3:9" ht="15.75" x14ac:dyDescent="0.25">
      <c r="C38" s="239" t="s">
        <v>488</v>
      </c>
      <c r="D38" s="236"/>
      <c r="E38" s="236"/>
      <c r="F38" s="236"/>
      <c r="G38" s="380">
        <v>10411</v>
      </c>
      <c r="H38" s="39"/>
      <c r="I38" s="233"/>
    </row>
    <row r="39" spans="3:9" ht="15.75" x14ac:dyDescent="0.25">
      <c r="C39" s="347"/>
      <c r="D39" s="39"/>
      <c r="E39" s="39"/>
      <c r="F39" s="39"/>
      <c r="G39" s="39"/>
      <c r="H39" s="39"/>
      <c r="I39" s="233"/>
    </row>
    <row r="40" spans="3:9" ht="15.75" x14ac:dyDescent="0.25">
      <c r="C40" s="347"/>
      <c r="D40" s="39"/>
      <c r="E40" s="39"/>
      <c r="F40" s="39"/>
      <c r="G40" s="39"/>
      <c r="H40" s="39"/>
      <c r="I40" s="233"/>
    </row>
    <row r="41" spans="3:9" ht="15.75" x14ac:dyDescent="0.25">
      <c r="C41" s="495" t="s">
        <v>491</v>
      </c>
      <c r="D41" s="494"/>
      <c r="E41" s="494"/>
      <c r="F41" s="494"/>
      <c r="G41" s="494"/>
      <c r="H41" s="39"/>
      <c r="I41" s="233"/>
    </row>
    <row r="42" spans="3:9" x14ac:dyDescent="0.25">
      <c r="C42" s="240"/>
      <c r="D42" s="241"/>
      <c r="E42" s="241"/>
      <c r="F42" s="241"/>
      <c r="G42" s="241"/>
      <c r="H42" s="241"/>
      <c r="I42" s="242"/>
    </row>
  </sheetData>
  <mergeCells count="9">
    <mergeCell ref="C33:D33"/>
    <mergeCell ref="C35:I35"/>
    <mergeCell ref="C41:G41"/>
    <mergeCell ref="B18:D18"/>
    <mergeCell ref="B3:C3"/>
    <mergeCell ref="I3:J3"/>
    <mergeCell ref="I5:M5"/>
    <mergeCell ref="I11:K11"/>
    <mergeCell ref="B5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6"/>
  <sheetViews>
    <sheetView topLeftCell="A39" workbookViewId="0">
      <selection activeCell="B39" sqref="B39:E56"/>
    </sheetView>
  </sheetViews>
  <sheetFormatPr baseColWidth="10" defaultRowHeight="15" x14ac:dyDescent="0.25"/>
  <cols>
    <col min="2" max="2" width="52" customWidth="1"/>
    <col min="3" max="3" width="14.140625" customWidth="1"/>
    <col min="5" max="5" width="15.85546875" customWidth="1"/>
  </cols>
  <sheetData>
    <row r="2" spans="2:5" ht="15.75" x14ac:dyDescent="0.25">
      <c r="B2" s="494" t="s">
        <v>657</v>
      </c>
      <c r="C2" s="494"/>
      <c r="D2" s="494"/>
      <c r="E2" s="494"/>
    </row>
    <row r="3" spans="2:5" ht="15.75" x14ac:dyDescent="0.25">
      <c r="B3" s="575" t="s">
        <v>658</v>
      </c>
      <c r="C3" s="575"/>
      <c r="D3" s="575"/>
      <c r="E3" s="575"/>
    </row>
    <row r="4" spans="2:5" ht="47.25" x14ac:dyDescent="0.25">
      <c r="B4" s="411" t="s">
        <v>659</v>
      </c>
      <c r="C4" s="412" t="s">
        <v>660</v>
      </c>
      <c r="D4" s="412" t="s">
        <v>661</v>
      </c>
      <c r="E4" s="412" t="s">
        <v>662</v>
      </c>
    </row>
    <row r="5" spans="2:5" ht="15.75" x14ac:dyDescent="0.25">
      <c r="B5" s="576" t="s">
        <v>663</v>
      </c>
      <c r="C5" s="576"/>
      <c r="D5" s="576"/>
      <c r="E5" s="576"/>
    </row>
    <row r="6" spans="2:5" ht="15.75" x14ac:dyDescent="0.25">
      <c r="B6" s="154" t="s">
        <v>311</v>
      </c>
      <c r="C6" s="413"/>
      <c r="D6" s="414">
        <v>243.93599999999998</v>
      </c>
      <c r="E6" s="37"/>
    </row>
    <row r="7" spans="2:5" ht="15.75" x14ac:dyDescent="0.25">
      <c r="B7" s="14" t="s">
        <v>17</v>
      </c>
      <c r="C7" s="413"/>
      <c r="D7" s="414">
        <v>196</v>
      </c>
      <c r="E7" s="37"/>
    </row>
    <row r="8" spans="2:5" ht="15.75" x14ac:dyDescent="0.25">
      <c r="B8" s="14" t="s">
        <v>40</v>
      </c>
      <c r="C8" s="413"/>
      <c r="D8" s="415">
        <v>40.32</v>
      </c>
      <c r="E8" s="37"/>
    </row>
    <row r="9" spans="2:5" ht="14.25" customHeight="1" x14ac:dyDescent="0.25">
      <c r="B9" s="14" t="s">
        <v>664</v>
      </c>
      <c r="C9" s="413"/>
      <c r="D9" s="415">
        <v>17.920000000000002</v>
      </c>
      <c r="E9" s="37"/>
    </row>
    <row r="10" spans="2:5" ht="15.75" x14ac:dyDescent="0.25">
      <c r="B10" s="312" t="s">
        <v>20</v>
      </c>
      <c r="C10" s="413"/>
      <c r="D10" s="416">
        <v>90.72</v>
      </c>
      <c r="E10" s="37"/>
    </row>
    <row r="11" spans="2:5" ht="15.75" x14ac:dyDescent="0.25">
      <c r="B11" s="14" t="s">
        <v>25</v>
      </c>
      <c r="C11" s="413"/>
      <c r="D11" s="414">
        <v>115.36</v>
      </c>
      <c r="E11" s="37"/>
    </row>
    <row r="12" spans="2:5" ht="19.5" customHeight="1" x14ac:dyDescent="0.25">
      <c r="B12" s="14" t="s">
        <v>22</v>
      </c>
      <c r="C12" s="413"/>
      <c r="D12" s="414">
        <v>3.92</v>
      </c>
      <c r="E12" s="37"/>
    </row>
    <row r="13" spans="2:5" ht="19.5" customHeight="1" x14ac:dyDescent="0.25">
      <c r="B13" s="14" t="s">
        <v>312</v>
      </c>
      <c r="C13" s="413"/>
      <c r="D13" s="414">
        <v>184.01600000000002</v>
      </c>
      <c r="E13" s="37"/>
    </row>
    <row r="14" spans="2:5" ht="15.75" x14ac:dyDescent="0.25">
      <c r="B14" s="14" t="s">
        <v>665</v>
      </c>
      <c r="C14" s="413"/>
      <c r="D14" s="415">
        <v>7.84</v>
      </c>
      <c r="E14" s="37"/>
    </row>
    <row r="15" spans="2:5" ht="15.75" x14ac:dyDescent="0.25">
      <c r="B15" s="14" t="s">
        <v>34</v>
      </c>
      <c r="C15" s="413"/>
      <c r="D15" s="414">
        <v>9.911999999999999</v>
      </c>
      <c r="E15" s="37"/>
    </row>
    <row r="16" spans="2:5" ht="15.75" x14ac:dyDescent="0.25">
      <c r="B16" s="14" t="s">
        <v>26</v>
      </c>
      <c r="C16" s="413"/>
      <c r="D16" s="414">
        <v>131.04</v>
      </c>
      <c r="E16" s="37"/>
    </row>
    <row r="17" spans="2:5" ht="15.75" x14ac:dyDescent="0.25">
      <c r="B17" s="14" t="s">
        <v>13</v>
      </c>
      <c r="C17" s="413"/>
      <c r="D17" s="415">
        <v>22.4</v>
      </c>
      <c r="E17" s="37"/>
    </row>
    <row r="18" spans="2:5" ht="15.75" x14ac:dyDescent="0.25">
      <c r="B18" s="14" t="s">
        <v>21</v>
      </c>
      <c r="C18" s="413"/>
      <c r="D18" s="414">
        <v>91.84</v>
      </c>
      <c r="E18" s="37"/>
    </row>
    <row r="19" spans="2:5" ht="15.75" x14ac:dyDescent="0.25">
      <c r="B19" s="14" t="s">
        <v>31</v>
      </c>
      <c r="C19" s="413"/>
      <c r="D19" s="414">
        <v>112</v>
      </c>
      <c r="E19" s="37"/>
    </row>
    <row r="20" spans="2:5" ht="15.75" x14ac:dyDescent="0.25">
      <c r="B20" s="14" t="s">
        <v>33</v>
      </c>
      <c r="C20" s="413"/>
      <c r="D20" s="414">
        <v>75.599999999999994</v>
      </c>
      <c r="E20" s="37"/>
    </row>
    <row r="21" spans="2:5" ht="15.75" x14ac:dyDescent="0.25">
      <c r="B21" s="14" t="s">
        <v>32</v>
      </c>
      <c r="C21" s="413"/>
      <c r="D21" s="414">
        <v>10.3712</v>
      </c>
      <c r="E21" s="37"/>
    </row>
    <row r="22" spans="2:5" ht="15.75" x14ac:dyDescent="0.25">
      <c r="B22" s="16" t="s">
        <v>24</v>
      </c>
      <c r="C22" s="413"/>
      <c r="D22" s="414">
        <v>128.80000000000001</v>
      </c>
      <c r="E22" s="37"/>
    </row>
    <row r="23" spans="2:5" ht="15.75" x14ac:dyDescent="0.25">
      <c r="B23" s="14" t="s">
        <v>313</v>
      </c>
      <c r="C23" s="413"/>
      <c r="D23" s="414">
        <v>44.8</v>
      </c>
      <c r="E23" s="37"/>
    </row>
    <row r="24" spans="2:5" ht="18.75" customHeight="1" x14ac:dyDescent="0.25">
      <c r="B24" s="312" t="s">
        <v>39</v>
      </c>
      <c r="C24" s="413"/>
      <c r="D24" s="415">
        <v>8.4</v>
      </c>
      <c r="E24" s="37"/>
    </row>
    <row r="25" spans="2:5" ht="15.75" x14ac:dyDescent="0.25">
      <c r="B25" s="353" t="s">
        <v>30</v>
      </c>
      <c r="C25" s="413"/>
      <c r="D25" s="414">
        <v>45.36</v>
      </c>
      <c r="E25" s="37"/>
    </row>
    <row r="26" spans="2:5" ht="15.75" x14ac:dyDescent="0.25">
      <c r="B26" s="154" t="s">
        <v>666</v>
      </c>
      <c r="C26" s="413"/>
      <c r="D26" s="414">
        <v>42.638400000000004</v>
      </c>
      <c r="E26" s="37"/>
    </row>
    <row r="27" spans="2:5" ht="15.75" x14ac:dyDescent="0.25">
      <c r="B27" s="14" t="s">
        <v>314</v>
      </c>
      <c r="C27" s="413"/>
      <c r="D27" s="414">
        <v>86.015999999999991</v>
      </c>
      <c r="E27" s="37"/>
    </row>
    <row r="28" spans="2:5" ht="15.75" x14ac:dyDescent="0.25">
      <c r="B28" s="154" t="s">
        <v>667</v>
      </c>
      <c r="C28" s="413"/>
      <c r="D28" s="415">
        <v>8.8928000000000011</v>
      </c>
      <c r="E28" s="37"/>
    </row>
    <row r="29" spans="2:5" ht="16.5" customHeight="1" x14ac:dyDescent="0.25">
      <c r="B29" s="312" t="s">
        <v>668</v>
      </c>
      <c r="C29" s="413"/>
      <c r="D29" s="415">
        <v>8.9600000000000009</v>
      </c>
      <c r="E29" s="37"/>
    </row>
    <row r="30" spans="2:5" ht="16.5" customHeight="1" x14ac:dyDescent="0.25">
      <c r="B30" s="14" t="s">
        <v>315</v>
      </c>
      <c r="C30" s="413"/>
      <c r="D30" s="414">
        <v>70.56</v>
      </c>
      <c r="E30" s="37"/>
    </row>
    <row r="31" spans="2:5" ht="16.5" customHeight="1" x14ac:dyDescent="0.25">
      <c r="B31" s="14" t="s">
        <v>29</v>
      </c>
      <c r="C31" s="413"/>
      <c r="D31" s="414">
        <v>25.2</v>
      </c>
      <c r="E31" s="37"/>
    </row>
    <row r="32" spans="2:5" ht="16.5" customHeight="1" x14ac:dyDescent="0.25">
      <c r="B32" s="14" t="s">
        <v>316</v>
      </c>
      <c r="C32" s="413"/>
      <c r="D32" s="414">
        <v>113.79199999999999</v>
      </c>
      <c r="E32" s="37"/>
    </row>
    <row r="33" spans="2:5" ht="16.5" customHeight="1" x14ac:dyDescent="0.25">
      <c r="B33" s="14" t="s">
        <v>205</v>
      </c>
      <c r="C33" s="413"/>
      <c r="D33" s="414">
        <v>268.93439999999998</v>
      </c>
      <c r="E33" s="37"/>
    </row>
    <row r="34" spans="2:5" ht="15.75" x14ac:dyDescent="0.25">
      <c r="B34" s="417" t="s">
        <v>669</v>
      </c>
      <c r="C34" s="418"/>
      <c r="D34" s="419">
        <f>SUM(D6:D33)</f>
        <v>2205.5488</v>
      </c>
      <c r="E34" s="419">
        <f>+D34</f>
        <v>2205.5488</v>
      </c>
    </row>
    <row r="35" spans="2:5" ht="15.75" x14ac:dyDescent="0.25">
      <c r="B35" s="576" t="s">
        <v>670</v>
      </c>
      <c r="C35" s="576"/>
      <c r="D35" s="576"/>
      <c r="E35" s="576"/>
    </row>
    <row r="36" spans="2:5" ht="15.75" x14ac:dyDescent="0.25">
      <c r="B36" s="37" t="s">
        <v>671</v>
      </c>
      <c r="C36" s="53">
        <v>7296.46</v>
      </c>
      <c r="D36" s="420"/>
      <c r="E36" s="37"/>
    </row>
    <row r="37" spans="2:5" ht="15.75" x14ac:dyDescent="0.25">
      <c r="B37" s="417" t="s">
        <v>672</v>
      </c>
      <c r="C37" s="421">
        <v>7296.46</v>
      </c>
      <c r="D37" s="422"/>
      <c r="E37" s="421">
        <f>+C37</f>
        <v>7296.46</v>
      </c>
    </row>
    <row r="38" spans="2:5" ht="15.75" x14ac:dyDescent="0.25">
      <c r="B38" s="576" t="s">
        <v>673</v>
      </c>
      <c r="C38" s="576"/>
      <c r="D38" s="576"/>
      <c r="E38" s="576"/>
    </row>
    <row r="39" spans="2:5" ht="15.75" x14ac:dyDescent="0.25">
      <c r="B39" s="37" t="s">
        <v>674</v>
      </c>
      <c r="C39" s="413"/>
      <c r="D39" s="53">
        <v>1180</v>
      </c>
      <c r="E39" s="37"/>
    </row>
    <row r="40" spans="2:5" ht="15.75" x14ac:dyDescent="0.25">
      <c r="B40" s="37" t="s">
        <v>675</v>
      </c>
      <c r="C40" s="413"/>
      <c r="D40" s="53">
        <v>450</v>
      </c>
      <c r="E40" s="37"/>
    </row>
    <row r="41" spans="2:5" ht="15.75" x14ac:dyDescent="0.25">
      <c r="B41" s="37" t="s">
        <v>676</v>
      </c>
      <c r="C41" s="413"/>
      <c r="D41" s="53">
        <v>250</v>
      </c>
      <c r="E41" s="37"/>
    </row>
    <row r="42" spans="2:5" ht="15.75" x14ac:dyDescent="0.25">
      <c r="B42" s="37" t="s">
        <v>677</v>
      </c>
      <c r="C42" s="413"/>
      <c r="D42" s="53">
        <v>230</v>
      </c>
      <c r="E42" s="37"/>
    </row>
    <row r="43" spans="2:5" ht="15.75" x14ac:dyDescent="0.25">
      <c r="B43" s="37" t="s">
        <v>678</v>
      </c>
      <c r="C43" s="53">
        <v>10000</v>
      </c>
      <c r="D43" s="413"/>
      <c r="E43" s="37"/>
    </row>
    <row r="44" spans="2:5" ht="15.75" x14ac:dyDescent="0.25">
      <c r="B44" s="37" t="s">
        <v>679</v>
      </c>
      <c r="C44" s="37"/>
      <c r="D44" s="53">
        <v>1000</v>
      </c>
      <c r="E44" s="37"/>
    </row>
    <row r="45" spans="2:5" ht="15.75" x14ac:dyDescent="0.25">
      <c r="B45" s="37" t="s">
        <v>680</v>
      </c>
      <c r="C45" s="53">
        <v>1008</v>
      </c>
      <c r="D45" s="37"/>
      <c r="E45" s="37"/>
    </row>
    <row r="46" spans="2:5" ht="15.75" x14ac:dyDescent="0.25">
      <c r="B46" s="37" t="s">
        <v>681</v>
      </c>
      <c r="C46" s="53">
        <v>360</v>
      </c>
      <c r="D46" s="413"/>
      <c r="E46" s="37"/>
    </row>
    <row r="47" spans="2:5" ht="15.75" x14ac:dyDescent="0.25">
      <c r="B47" s="37" t="s">
        <v>682</v>
      </c>
      <c r="C47" s="53">
        <v>225</v>
      </c>
      <c r="D47" s="413"/>
      <c r="E47" s="37"/>
    </row>
    <row r="48" spans="2:5" ht="15.75" x14ac:dyDescent="0.25">
      <c r="B48" s="37" t="s">
        <v>683</v>
      </c>
      <c r="C48" s="53">
        <v>306</v>
      </c>
      <c r="D48" s="37"/>
      <c r="E48" s="37"/>
    </row>
    <row r="49" spans="2:5" ht="15.75" x14ac:dyDescent="0.25">
      <c r="B49" s="37" t="s">
        <v>684</v>
      </c>
      <c r="C49" s="53">
        <v>2088</v>
      </c>
      <c r="D49" s="413"/>
      <c r="E49" s="37"/>
    </row>
    <row r="50" spans="2:5" ht="15.75" x14ac:dyDescent="0.25">
      <c r="B50" s="37" t="s">
        <v>685</v>
      </c>
      <c r="C50" s="53">
        <v>3024</v>
      </c>
      <c r="D50" s="413"/>
      <c r="E50" s="37"/>
    </row>
    <row r="51" spans="2:5" ht="15.75" x14ac:dyDescent="0.25">
      <c r="B51" s="37" t="s">
        <v>686</v>
      </c>
      <c r="C51" s="53">
        <v>5400</v>
      </c>
      <c r="D51" s="413"/>
      <c r="E51" s="37"/>
    </row>
    <row r="52" spans="2:5" ht="15.75" x14ac:dyDescent="0.25">
      <c r="B52" s="37" t="s">
        <v>687</v>
      </c>
      <c r="C52" s="53">
        <v>216</v>
      </c>
      <c r="D52" s="413"/>
      <c r="E52" s="37"/>
    </row>
    <row r="53" spans="2:5" ht="15.75" x14ac:dyDescent="0.25">
      <c r="B53" s="37" t="s">
        <v>708</v>
      </c>
      <c r="C53" s="53">
        <f>+depreciaciones!H82</f>
        <v>607.94999999999993</v>
      </c>
      <c r="D53" s="413"/>
      <c r="E53" s="37"/>
    </row>
    <row r="54" spans="2:5" ht="15.75" x14ac:dyDescent="0.25">
      <c r="B54" s="417" t="s">
        <v>688</v>
      </c>
      <c r="C54" s="421">
        <f>SUM(C43:C53)</f>
        <v>23234.95</v>
      </c>
      <c r="D54" s="421">
        <f>SUM(D39:D52)</f>
        <v>3110</v>
      </c>
      <c r="E54" s="421">
        <f>+D54+C54</f>
        <v>26344.95</v>
      </c>
    </row>
    <row r="55" spans="2:5" ht="15.75" x14ac:dyDescent="0.25">
      <c r="B55" s="423" t="s">
        <v>689</v>
      </c>
      <c r="C55" s="424">
        <f>+C54+C37</f>
        <v>30531.41</v>
      </c>
      <c r="D55" s="424">
        <f>+D54+D34</f>
        <v>5315.5488000000005</v>
      </c>
      <c r="E55" s="424">
        <f>+D55+C55</f>
        <v>35846.9588</v>
      </c>
    </row>
    <row r="56" spans="2:5" ht="15.75" x14ac:dyDescent="0.25">
      <c r="B56" s="425" t="s">
        <v>690</v>
      </c>
      <c r="C56" s="379"/>
    </row>
  </sheetData>
  <mergeCells count="5">
    <mergeCell ref="B2:E2"/>
    <mergeCell ref="B3:E3"/>
    <mergeCell ref="B5:E5"/>
    <mergeCell ref="B35:E35"/>
    <mergeCell ref="B38:E38"/>
  </mergeCells>
  <conditionalFormatting sqref="B6:B33">
    <cfRule type="duplicateValues" dxfId="5" priority="1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694"/>
  <sheetViews>
    <sheetView topLeftCell="E393" workbookViewId="0">
      <selection activeCell="B403" sqref="B1:B1048576"/>
    </sheetView>
  </sheetViews>
  <sheetFormatPr baseColWidth="10" defaultRowHeight="15" x14ac:dyDescent="0.25"/>
  <cols>
    <col min="2" max="2" width="36.42578125" customWidth="1"/>
  </cols>
  <sheetData>
    <row r="2" spans="1:18" ht="15.75" x14ac:dyDescent="0.25">
      <c r="A2" s="506" t="s">
        <v>208</v>
      </c>
      <c r="B2" s="507"/>
      <c r="C2" s="507"/>
      <c r="D2" s="507"/>
      <c r="E2" s="507"/>
      <c r="F2" s="507"/>
      <c r="G2" s="507"/>
      <c r="H2" s="507"/>
      <c r="I2" s="507"/>
      <c r="J2" s="507"/>
      <c r="K2" s="507"/>
      <c r="L2" s="507"/>
      <c r="M2" s="507"/>
      <c r="N2" s="507"/>
      <c r="O2" s="507"/>
      <c r="P2" s="507"/>
      <c r="Q2" s="507"/>
      <c r="R2" s="508"/>
    </row>
    <row r="3" spans="1:18" ht="15.75" x14ac:dyDescent="0.25">
      <c r="A3" s="295" t="s">
        <v>209</v>
      </c>
      <c r="B3" s="294"/>
      <c r="C3" s="39"/>
      <c r="D3" s="55"/>
      <c r="E3" s="39"/>
      <c r="F3" s="39"/>
      <c r="G3" s="39"/>
      <c r="H3" s="494"/>
      <c r="I3" s="494"/>
      <c r="J3" s="494"/>
      <c r="K3" s="39"/>
      <c r="L3" s="39"/>
      <c r="M3" s="39"/>
      <c r="N3" s="39"/>
      <c r="O3" s="39"/>
      <c r="P3" s="39"/>
      <c r="Q3" s="39"/>
      <c r="R3" s="42"/>
    </row>
    <row r="4" spans="1:18" ht="15.75" x14ac:dyDescent="0.25">
      <c r="A4" s="295" t="s">
        <v>228</v>
      </c>
      <c r="B4" s="493" t="s">
        <v>515</v>
      </c>
      <c r="C4" s="493"/>
      <c r="D4" s="55"/>
      <c r="E4" s="39"/>
      <c r="F4" s="39"/>
      <c r="G4" s="39"/>
      <c r="H4" s="494"/>
      <c r="I4" s="494"/>
      <c r="J4" s="494"/>
      <c r="K4" s="39"/>
      <c r="L4" s="39"/>
      <c r="M4" s="39"/>
      <c r="N4" s="39"/>
      <c r="O4" s="39"/>
      <c r="P4" s="39"/>
      <c r="Q4" s="39"/>
      <c r="R4" s="42"/>
    </row>
    <row r="5" spans="1:18" ht="15.75" x14ac:dyDescent="0.25">
      <c r="A5" s="492" t="s">
        <v>210</v>
      </c>
      <c r="B5" s="493"/>
      <c r="C5" s="294"/>
      <c r="D5" s="56"/>
      <c r="E5" s="39"/>
      <c r="F5" s="39"/>
      <c r="G5" s="39"/>
      <c r="H5" s="494"/>
      <c r="I5" s="494"/>
      <c r="J5" s="494"/>
      <c r="K5" s="39"/>
      <c r="L5" s="39"/>
      <c r="M5" s="39"/>
      <c r="N5" s="39"/>
      <c r="O5" s="39"/>
      <c r="P5" s="39"/>
      <c r="Q5" s="39"/>
      <c r="R5" s="42"/>
    </row>
    <row r="6" spans="1:18" ht="15.75" x14ac:dyDescent="0.25">
      <c r="A6" s="495" t="s">
        <v>211</v>
      </c>
      <c r="B6" s="494"/>
      <c r="C6" s="494"/>
      <c r="D6" s="55"/>
      <c r="E6" s="39"/>
      <c r="F6" s="39"/>
      <c r="G6" s="39"/>
      <c r="H6" s="494"/>
      <c r="I6" s="494"/>
      <c r="J6" s="494"/>
      <c r="K6" s="39"/>
      <c r="L6" s="39"/>
      <c r="M6" s="39"/>
      <c r="N6" s="39"/>
      <c r="O6" s="39"/>
      <c r="P6" s="39"/>
      <c r="Q6" s="39"/>
      <c r="R6" s="42"/>
    </row>
    <row r="7" spans="1:18" ht="15.75" x14ac:dyDescent="0.25">
      <c r="A7" s="496" t="s">
        <v>212</v>
      </c>
      <c r="B7" s="496"/>
      <c r="C7" s="496"/>
      <c r="D7" s="496"/>
      <c r="E7" s="496"/>
      <c r="F7" s="496" t="s">
        <v>213</v>
      </c>
      <c r="G7" s="496"/>
      <c r="H7" s="496"/>
      <c r="I7" s="496"/>
      <c r="J7" s="496"/>
      <c r="K7" s="497" t="s">
        <v>221</v>
      </c>
      <c r="L7" s="497"/>
      <c r="M7" s="497"/>
      <c r="N7" s="497"/>
      <c r="O7" s="496" t="s">
        <v>222</v>
      </c>
      <c r="P7" s="496"/>
      <c r="Q7" s="496"/>
      <c r="R7" s="496"/>
    </row>
    <row r="8" spans="1:18" ht="31.5" x14ac:dyDescent="0.25">
      <c r="A8" s="296" t="s">
        <v>0</v>
      </c>
      <c r="B8" s="296" t="s">
        <v>1</v>
      </c>
      <c r="C8" s="296" t="s">
        <v>214</v>
      </c>
      <c r="D8" s="57" t="s">
        <v>215</v>
      </c>
      <c r="E8" s="49" t="s">
        <v>216</v>
      </c>
      <c r="F8" s="296" t="s">
        <v>0</v>
      </c>
      <c r="G8" s="49" t="s">
        <v>217</v>
      </c>
      <c r="H8" s="296" t="s">
        <v>614</v>
      </c>
      <c r="I8" s="49" t="s">
        <v>219</v>
      </c>
      <c r="J8" s="49" t="s">
        <v>216</v>
      </c>
      <c r="K8" s="296" t="s">
        <v>0</v>
      </c>
      <c r="L8" s="49" t="s">
        <v>321</v>
      </c>
      <c r="M8" s="49" t="s">
        <v>224</v>
      </c>
      <c r="N8" s="49" t="s">
        <v>216</v>
      </c>
      <c r="O8" s="496"/>
      <c r="P8" s="496"/>
      <c r="Q8" s="496"/>
      <c r="R8" s="496"/>
    </row>
    <row r="9" spans="1:18" ht="15.75" x14ac:dyDescent="0.25">
      <c r="A9" s="50"/>
      <c r="B9" s="154" t="s">
        <v>86</v>
      </c>
      <c r="C9" s="328">
        <v>0.5</v>
      </c>
      <c r="D9" s="51">
        <f>+'kardex reactivos 1'!G159</f>
        <v>4.1119999999999997E-2</v>
      </c>
      <c r="E9" s="51">
        <f>+C9*D9</f>
        <v>2.0559999999999998E-2</v>
      </c>
      <c r="F9" s="37"/>
      <c r="G9" s="37"/>
      <c r="H9" s="358">
        <f>+'Minutos MOD por exmen '!C2</f>
        <v>0.13333333333333333</v>
      </c>
      <c r="I9" s="100">
        <f>+'tasa MOD '!I37</f>
        <v>4.4725192584766118</v>
      </c>
      <c r="J9" s="358">
        <f>+I9*H9</f>
        <v>0.59633590113021495</v>
      </c>
      <c r="K9" s="37"/>
      <c r="L9" s="358">
        <f>+J16</f>
        <v>0.59633590113021495</v>
      </c>
      <c r="M9" s="109">
        <f>+'tasa cif'!G9</f>
        <v>0.76985269116945931</v>
      </c>
      <c r="N9" s="37">
        <f>+L9*M9</f>
        <v>0.45909079832606059</v>
      </c>
      <c r="O9" s="505" t="s">
        <v>225</v>
      </c>
      <c r="P9" s="505"/>
      <c r="Q9" s="35">
        <f>+E16</f>
        <v>0.40299333333333331</v>
      </c>
      <c r="R9" s="38"/>
    </row>
    <row r="10" spans="1:18" ht="18.75" customHeight="1" x14ac:dyDescent="0.25">
      <c r="A10" s="50"/>
      <c r="B10" s="303" t="s">
        <v>159</v>
      </c>
      <c r="C10" s="328">
        <v>1.5</v>
      </c>
      <c r="D10" s="51">
        <f>+'kardex reactivos 3'!G24</f>
        <v>4.4999999999999998E-2</v>
      </c>
      <c r="E10" s="51">
        <f>+C10*D10</f>
        <v>6.7500000000000004E-2</v>
      </c>
      <c r="F10" s="37"/>
      <c r="G10" s="37"/>
      <c r="H10" s="37"/>
      <c r="I10" s="37"/>
      <c r="J10" s="358"/>
      <c r="K10" s="37"/>
      <c r="L10" s="37"/>
      <c r="M10" s="37"/>
      <c r="N10" s="37"/>
      <c r="O10" s="505" t="s">
        <v>226</v>
      </c>
      <c r="P10" s="505"/>
      <c r="Q10">
        <f>+J16</f>
        <v>0.59633590113021495</v>
      </c>
      <c r="R10" s="38"/>
    </row>
    <row r="11" spans="1:18" ht="15.75" x14ac:dyDescent="0.25">
      <c r="A11" s="50"/>
      <c r="B11" s="154" t="s">
        <v>229</v>
      </c>
      <c r="C11" s="328">
        <v>1</v>
      </c>
      <c r="D11" s="51">
        <f>+'kardex reactivos 1'!G194</f>
        <v>6.8000000000000005E-2</v>
      </c>
      <c r="E11" s="51">
        <f>+C11*D11</f>
        <v>6.8000000000000005E-2</v>
      </c>
      <c r="F11" s="37"/>
      <c r="G11" s="37"/>
      <c r="H11" s="37"/>
      <c r="I11" s="37"/>
      <c r="J11" s="358"/>
      <c r="K11" s="37"/>
      <c r="L11" s="37"/>
      <c r="M11" s="37"/>
      <c r="N11" s="37"/>
      <c r="O11" s="43" t="s">
        <v>227</v>
      </c>
      <c r="P11" s="293"/>
      <c r="Q11">
        <f>+N16</f>
        <v>0.45909079832606059</v>
      </c>
      <c r="R11" s="38"/>
    </row>
    <row r="12" spans="1:18" ht="16.5" thickBot="1" x14ac:dyDescent="0.3">
      <c r="A12" s="50"/>
      <c r="B12" s="303" t="s">
        <v>230</v>
      </c>
      <c r="C12" s="328">
        <v>1</v>
      </c>
      <c r="D12" s="51">
        <f>+'kardex reactivos 1'!G217</f>
        <v>6.8000000000000005E-2</v>
      </c>
      <c r="E12" s="51">
        <f>+C12*D12</f>
        <v>6.8000000000000005E-2</v>
      </c>
      <c r="F12" s="37"/>
      <c r="G12" s="37"/>
      <c r="H12" s="37"/>
      <c r="I12" s="37"/>
      <c r="J12" s="358"/>
      <c r="K12" s="37"/>
      <c r="L12" s="37"/>
      <c r="M12" s="37"/>
      <c r="N12" s="37"/>
      <c r="O12" s="293"/>
      <c r="P12" s="293"/>
      <c r="Q12" s="356">
        <f>SUM(Q9:Q11)</f>
        <v>1.4584200327896089</v>
      </c>
      <c r="R12" s="38"/>
    </row>
    <row r="13" spans="1:18" ht="16.5" thickTop="1" x14ac:dyDescent="0.25">
      <c r="A13" s="50"/>
      <c r="B13" s="154" t="s">
        <v>160</v>
      </c>
      <c r="C13" s="328">
        <v>3</v>
      </c>
      <c r="D13" s="51">
        <f>+'kardex reactivos 3'!G38</f>
        <v>2.631E-2</v>
      </c>
      <c r="E13" s="51">
        <f t="shared" ref="E13:E15" si="0">+C13*D13</f>
        <v>7.893E-2</v>
      </c>
      <c r="F13" s="37"/>
      <c r="G13" s="37"/>
      <c r="H13" s="37"/>
      <c r="I13" s="37"/>
      <c r="J13" s="358"/>
      <c r="K13" s="37"/>
      <c r="L13" s="37"/>
      <c r="M13" s="37"/>
      <c r="N13" s="37"/>
      <c r="O13" s="293"/>
      <c r="P13" s="293"/>
      <c r="Q13" s="39"/>
      <c r="R13" s="38"/>
    </row>
    <row r="14" spans="1:18" ht="20.25" customHeight="1" x14ac:dyDescent="0.25">
      <c r="A14" s="50"/>
      <c r="B14" s="304" t="s">
        <v>162</v>
      </c>
      <c r="C14" s="329">
        <v>3</v>
      </c>
      <c r="D14" s="51">
        <f>+'kardex reactivos 3'!G51</f>
        <v>2.631E-2</v>
      </c>
      <c r="E14" s="51">
        <f t="shared" si="0"/>
        <v>7.893E-2</v>
      </c>
      <c r="F14" s="37"/>
      <c r="G14" s="37"/>
      <c r="H14" s="37"/>
      <c r="I14" s="37"/>
      <c r="J14" s="358"/>
      <c r="K14" s="37"/>
      <c r="L14" s="37"/>
      <c r="M14" s="37"/>
      <c r="N14" s="37"/>
      <c r="O14" s="293"/>
      <c r="P14" s="293"/>
      <c r="R14" s="38"/>
    </row>
    <row r="15" spans="1:18" ht="15.75" x14ac:dyDescent="0.25">
      <c r="A15" s="50"/>
      <c r="B15" s="154" t="s">
        <v>93</v>
      </c>
      <c r="C15" s="328">
        <v>0.5</v>
      </c>
      <c r="D15" s="51">
        <f>+'kardex reactivos 1'!G272</f>
        <v>4.2146666666666666E-2</v>
      </c>
      <c r="E15" s="51">
        <f t="shared" si="0"/>
        <v>2.1073333333333333E-2</v>
      </c>
      <c r="F15" s="37"/>
      <c r="G15" s="37"/>
      <c r="H15" s="37"/>
      <c r="I15" s="37"/>
      <c r="J15" s="358"/>
      <c r="K15" s="37"/>
      <c r="L15" s="37"/>
      <c r="M15" s="37"/>
      <c r="N15" s="37"/>
      <c r="O15" s="293"/>
      <c r="P15" s="293"/>
      <c r="R15" s="38"/>
    </row>
    <row r="16" spans="1:18" ht="15.75" x14ac:dyDescent="0.25">
      <c r="A16" s="489" t="s">
        <v>220</v>
      </c>
      <c r="B16" s="489"/>
      <c r="C16" s="489"/>
      <c r="D16" s="489"/>
      <c r="E16" s="52">
        <f>SUM(E9:E15)</f>
        <v>0.40299333333333331</v>
      </c>
      <c r="F16" s="37"/>
      <c r="G16" s="37"/>
      <c r="H16" s="489" t="s">
        <v>220</v>
      </c>
      <c r="I16" s="489"/>
      <c r="J16" s="359">
        <f>+J9</f>
        <v>0.59633590113021495</v>
      </c>
      <c r="K16" s="37"/>
      <c r="L16" s="37"/>
      <c r="M16" s="37"/>
      <c r="N16" s="37">
        <f>+N9</f>
        <v>0.45909079832606059</v>
      </c>
      <c r="O16" s="490"/>
      <c r="P16" s="491"/>
      <c r="Q16" s="350"/>
      <c r="R16" s="357"/>
    </row>
    <row r="20" spans="1:18" ht="15.75" x14ac:dyDescent="0.25">
      <c r="A20" s="506" t="s">
        <v>208</v>
      </c>
      <c r="B20" s="507"/>
      <c r="C20" s="507"/>
      <c r="D20" s="507"/>
      <c r="E20" s="507"/>
      <c r="F20" s="507"/>
      <c r="G20" s="507"/>
      <c r="H20" s="507"/>
      <c r="I20" s="507"/>
      <c r="J20" s="507"/>
      <c r="K20" s="507"/>
      <c r="L20" s="507"/>
      <c r="M20" s="507"/>
      <c r="N20" s="507"/>
      <c r="O20" s="507"/>
      <c r="P20" s="507"/>
      <c r="Q20" s="507"/>
      <c r="R20" s="508"/>
    </row>
    <row r="21" spans="1:18" ht="15.75" x14ac:dyDescent="0.25">
      <c r="A21" s="299" t="s">
        <v>209</v>
      </c>
      <c r="B21" s="297"/>
      <c r="C21" s="39"/>
      <c r="D21" s="55"/>
      <c r="E21" s="39"/>
      <c r="F21" s="39"/>
      <c r="G21" s="39"/>
      <c r="H21" s="494"/>
      <c r="I21" s="494"/>
      <c r="J21" s="494"/>
      <c r="K21" s="39"/>
      <c r="L21" s="39"/>
      <c r="M21" s="39"/>
      <c r="N21" s="39"/>
      <c r="O21" s="39"/>
      <c r="P21" s="39"/>
      <c r="Q21" s="39"/>
      <c r="R21" s="42"/>
    </row>
    <row r="22" spans="1:18" ht="15.75" x14ac:dyDescent="0.25">
      <c r="A22" s="299" t="s">
        <v>228</v>
      </c>
      <c r="B22" s="493" t="s">
        <v>517</v>
      </c>
      <c r="C22" s="493"/>
      <c r="D22" s="55"/>
      <c r="E22" s="39"/>
      <c r="F22" s="39"/>
      <c r="G22" s="39"/>
      <c r="H22" s="494"/>
      <c r="I22" s="494"/>
      <c r="J22" s="494"/>
      <c r="K22" s="39"/>
      <c r="L22" s="39"/>
      <c r="M22" s="39"/>
      <c r="N22" s="39"/>
      <c r="O22" s="39"/>
      <c r="P22" s="39"/>
      <c r="Q22" s="39"/>
      <c r="R22" s="42"/>
    </row>
    <row r="23" spans="1:18" ht="15.75" x14ac:dyDescent="0.25">
      <c r="A23" s="492" t="s">
        <v>210</v>
      </c>
      <c r="B23" s="493"/>
      <c r="C23" s="297"/>
      <c r="D23" s="56"/>
      <c r="E23" s="39"/>
      <c r="F23" s="39"/>
      <c r="G23" s="39"/>
      <c r="H23" s="494"/>
      <c r="I23" s="494"/>
      <c r="J23" s="494"/>
      <c r="K23" s="39"/>
      <c r="L23" s="39"/>
      <c r="M23" s="39"/>
      <c r="N23" s="39"/>
      <c r="O23" s="39"/>
      <c r="P23" s="39"/>
      <c r="Q23" s="39"/>
      <c r="R23" s="42"/>
    </row>
    <row r="24" spans="1:18" ht="15.75" x14ac:dyDescent="0.25">
      <c r="A24" s="495" t="s">
        <v>211</v>
      </c>
      <c r="B24" s="494"/>
      <c r="C24" s="494"/>
      <c r="D24" s="55"/>
      <c r="E24" s="39"/>
      <c r="F24" s="39"/>
      <c r="G24" s="39"/>
      <c r="H24" s="494"/>
      <c r="I24" s="494"/>
      <c r="J24" s="494"/>
      <c r="K24" s="39"/>
      <c r="L24" s="39"/>
      <c r="M24" s="39"/>
      <c r="N24" s="39"/>
      <c r="O24" s="39"/>
      <c r="P24" s="39"/>
      <c r="Q24" s="39"/>
      <c r="R24" s="42"/>
    </row>
    <row r="25" spans="1:18" ht="15.75" x14ac:dyDescent="0.25">
      <c r="A25" s="496" t="s">
        <v>212</v>
      </c>
      <c r="B25" s="496"/>
      <c r="C25" s="496"/>
      <c r="D25" s="496"/>
      <c r="E25" s="496"/>
      <c r="F25" s="496" t="s">
        <v>213</v>
      </c>
      <c r="G25" s="496"/>
      <c r="H25" s="496"/>
      <c r="I25" s="496"/>
      <c r="J25" s="496"/>
      <c r="K25" s="497" t="s">
        <v>221</v>
      </c>
      <c r="L25" s="497"/>
      <c r="M25" s="497"/>
      <c r="N25" s="497"/>
      <c r="O25" s="496" t="s">
        <v>222</v>
      </c>
      <c r="P25" s="496"/>
      <c r="Q25" s="496"/>
      <c r="R25" s="496"/>
    </row>
    <row r="26" spans="1:18" ht="31.5" x14ac:dyDescent="0.25">
      <c r="A26" s="300" t="s">
        <v>0</v>
      </c>
      <c r="B26" s="300" t="s">
        <v>1</v>
      </c>
      <c r="C26" s="300" t="s">
        <v>214</v>
      </c>
      <c r="D26" s="57" t="s">
        <v>215</v>
      </c>
      <c r="E26" s="49" t="s">
        <v>216</v>
      </c>
      <c r="F26" s="300" t="s">
        <v>0</v>
      </c>
      <c r="G26" s="49" t="s">
        <v>217</v>
      </c>
      <c r="H26" s="351" t="s">
        <v>614</v>
      </c>
      <c r="I26" s="49" t="s">
        <v>219</v>
      </c>
      <c r="J26" s="49" t="s">
        <v>216</v>
      </c>
      <c r="K26" s="300" t="s">
        <v>0</v>
      </c>
      <c r="L26" s="49" t="s">
        <v>321</v>
      </c>
      <c r="M26" s="49" t="s">
        <v>224</v>
      </c>
      <c r="N26" s="49" t="s">
        <v>216</v>
      </c>
      <c r="O26" s="496"/>
      <c r="P26" s="496"/>
      <c r="Q26" s="496"/>
      <c r="R26" s="496"/>
    </row>
    <row r="27" spans="1:18" ht="15.75" x14ac:dyDescent="0.25">
      <c r="A27" s="50"/>
      <c r="B27" s="14" t="s">
        <v>65</v>
      </c>
      <c r="C27" s="396">
        <v>1</v>
      </c>
      <c r="D27" s="51">
        <f>+'kardex reactivos 1'!G10</f>
        <v>5.8000000000000003E-2</v>
      </c>
      <c r="E27" s="51">
        <f>+C27*D27</f>
        <v>5.8000000000000003E-2</v>
      </c>
      <c r="F27" s="37"/>
      <c r="G27" s="37"/>
      <c r="H27" s="358">
        <f>+'Minutos MOD por exmen '!C3</f>
        <v>1.3333333333333333</v>
      </c>
      <c r="I27" s="100">
        <f>+'tasa MOD '!I37</f>
        <v>4.4725192584766118</v>
      </c>
      <c r="J27" s="358">
        <f>+I27*H27</f>
        <v>5.9633590113021491</v>
      </c>
      <c r="K27" s="37"/>
      <c r="L27" s="358">
        <f>+J33</f>
        <v>5.9633590113021491</v>
      </c>
      <c r="M27" s="109">
        <f>+'tasa cif'!G9</f>
        <v>0.76985269116945931</v>
      </c>
      <c r="N27" s="37">
        <f>+L27*M27</f>
        <v>4.5909079832606059</v>
      </c>
      <c r="O27" s="505" t="s">
        <v>225</v>
      </c>
      <c r="P27" s="505"/>
      <c r="Q27" s="35">
        <f>+E33</f>
        <v>0.62637999999999994</v>
      </c>
      <c r="R27" s="38"/>
    </row>
    <row r="28" spans="1:18" ht="15.75" x14ac:dyDescent="0.25">
      <c r="A28" s="50"/>
      <c r="B28" s="16" t="s">
        <v>518</v>
      </c>
      <c r="C28" s="396">
        <v>3</v>
      </c>
      <c r="D28" s="51">
        <f>+'kardex reactivos 1'!G24</f>
        <v>3.4000000000000002E-2</v>
      </c>
      <c r="E28" s="51">
        <f>+C28*D28</f>
        <v>0.10200000000000001</v>
      </c>
      <c r="F28" s="37"/>
      <c r="G28" s="37"/>
      <c r="H28" s="37"/>
      <c r="I28" s="37"/>
      <c r="J28" s="358"/>
      <c r="K28" s="37"/>
      <c r="L28" s="37"/>
      <c r="M28" s="37"/>
      <c r="N28" s="37"/>
      <c r="O28" s="505" t="s">
        <v>226</v>
      </c>
      <c r="P28" s="505"/>
      <c r="Q28">
        <f>+J33</f>
        <v>5.9633590113021491</v>
      </c>
      <c r="R28" s="38"/>
    </row>
    <row r="29" spans="1:18" ht="15.75" x14ac:dyDescent="0.25">
      <c r="A29" s="50"/>
      <c r="B29" s="312" t="s">
        <v>69</v>
      </c>
      <c r="C29" s="396">
        <v>1</v>
      </c>
      <c r="D29" s="51">
        <f>+'kardex reactivos 1'!G38</f>
        <v>0.23799999999999999</v>
      </c>
      <c r="E29" s="51">
        <f>+C29*D29</f>
        <v>0.23799999999999999</v>
      </c>
      <c r="F29" s="37"/>
      <c r="G29" s="37"/>
      <c r="H29" s="37"/>
      <c r="I29" s="37"/>
      <c r="J29" s="358"/>
      <c r="K29" s="37"/>
      <c r="L29" s="37"/>
      <c r="M29" s="37"/>
      <c r="N29" s="37"/>
      <c r="O29" s="43" t="s">
        <v>227</v>
      </c>
      <c r="P29" s="301"/>
      <c r="Q29">
        <f>+N33</f>
        <v>4.5909079832606059</v>
      </c>
      <c r="R29" s="38"/>
    </row>
    <row r="30" spans="1:18" ht="16.5" thickBot="1" x14ac:dyDescent="0.3">
      <c r="A30" s="50"/>
      <c r="B30" s="14" t="s">
        <v>71</v>
      </c>
      <c r="C30" s="396">
        <v>2</v>
      </c>
      <c r="D30" s="51">
        <f>+'kardex reactivos 1'!G51</f>
        <v>0.03</v>
      </c>
      <c r="E30" s="51">
        <f>+C30*D30</f>
        <v>0.06</v>
      </c>
      <c r="F30" s="37"/>
      <c r="G30" s="37"/>
      <c r="H30" s="37"/>
      <c r="I30" s="37"/>
      <c r="J30" s="358"/>
      <c r="K30" s="37"/>
      <c r="L30" s="37"/>
      <c r="M30" s="37"/>
      <c r="N30" s="37"/>
      <c r="O30" s="301"/>
      <c r="P30" s="301"/>
      <c r="Q30" s="356">
        <f>SUM(Q27:Q29)</f>
        <v>11.180646994562755</v>
      </c>
      <c r="R30" s="38"/>
    </row>
    <row r="31" spans="1:18" ht="16.5" thickTop="1" x14ac:dyDescent="0.25">
      <c r="A31" s="50"/>
      <c r="B31" s="14" t="s">
        <v>74</v>
      </c>
      <c r="C31" s="396">
        <v>1.5</v>
      </c>
      <c r="D31" s="51">
        <f>+'kardex reactivos 1'!G64</f>
        <v>2.682E-2</v>
      </c>
      <c r="E31" s="51">
        <f t="shared" ref="E31:E32" si="1">+C31*D31</f>
        <v>4.0230000000000002E-2</v>
      </c>
      <c r="F31" s="37"/>
      <c r="G31" s="37"/>
      <c r="H31" s="37"/>
      <c r="I31" s="37"/>
      <c r="J31" s="358"/>
      <c r="K31" s="37"/>
      <c r="L31" s="37"/>
      <c r="M31" s="37"/>
      <c r="N31" s="37"/>
      <c r="O31" s="301"/>
      <c r="P31" s="301"/>
      <c r="R31" s="38"/>
    </row>
    <row r="32" spans="1:18" ht="15.75" x14ac:dyDescent="0.25">
      <c r="A32" s="50"/>
      <c r="B32" s="312" t="s">
        <v>519</v>
      </c>
      <c r="C32" s="396">
        <v>2.5</v>
      </c>
      <c r="D32" s="51">
        <f>+'kardex reactivos 1'!G78</f>
        <v>5.126E-2</v>
      </c>
      <c r="E32" s="51">
        <f t="shared" si="1"/>
        <v>0.12814999999999999</v>
      </c>
      <c r="F32" s="37"/>
      <c r="G32" s="37"/>
      <c r="H32" s="37"/>
      <c r="I32" s="37"/>
      <c r="J32" s="358"/>
      <c r="K32" s="37"/>
      <c r="L32" s="37"/>
      <c r="M32" s="37"/>
      <c r="N32" s="37"/>
      <c r="O32" s="301"/>
      <c r="P32" s="301"/>
      <c r="Q32" s="39"/>
      <c r="R32" s="38"/>
    </row>
    <row r="33" spans="1:18" ht="15.75" x14ac:dyDescent="0.25">
      <c r="A33" s="489" t="s">
        <v>220</v>
      </c>
      <c r="B33" s="489"/>
      <c r="C33" s="489"/>
      <c r="D33" s="489"/>
      <c r="E33" s="52">
        <f>SUM(E27:E32)</f>
        <v>0.62637999999999994</v>
      </c>
      <c r="F33" s="37"/>
      <c r="G33" s="37"/>
      <c r="H33" s="489" t="s">
        <v>220</v>
      </c>
      <c r="I33" s="489"/>
      <c r="J33" s="359">
        <f>+J27</f>
        <v>5.9633590113021491</v>
      </c>
      <c r="K33" s="37"/>
      <c r="L33" s="37"/>
      <c r="M33" s="37"/>
      <c r="N33" s="37">
        <f>+N27</f>
        <v>4.5909079832606059</v>
      </c>
      <c r="O33" s="490"/>
      <c r="P33" s="491"/>
      <c r="Q33" s="350"/>
      <c r="R33" s="357"/>
    </row>
    <row r="37" spans="1:18" ht="15.75" x14ac:dyDescent="0.25">
      <c r="A37" s="506" t="s">
        <v>208</v>
      </c>
      <c r="B37" s="507"/>
      <c r="C37" s="507"/>
      <c r="D37" s="507"/>
      <c r="E37" s="507"/>
      <c r="F37" s="507"/>
      <c r="G37" s="507"/>
      <c r="H37" s="507"/>
      <c r="I37" s="507"/>
      <c r="J37" s="507"/>
      <c r="K37" s="507"/>
      <c r="L37" s="507"/>
      <c r="M37" s="507"/>
      <c r="N37" s="507"/>
      <c r="O37" s="507"/>
      <c r="P37" s="507"/>
      <c r="Q37" s="507"/>
      <c r="R37" s="508"/>
    </row>
    <row r="38" spans="1:18" ht="15.75" x14ac:dyDescent="0.25">
      <c r="A38" s="299" t="s">
        <v>209</v>
      </c>
      <c r="B38" s="297"/>
      <c r="C38" s="39"/>
      <c r="D38" s="55"/>
      <c r="E38" s="39"/>
      <c r="F38" s="39"/>
      <c r="G38" s="39"/>
      <c r="H38" s="494"/>
      <c r="I38" s="494"/>
      <c r="J38" s="494"/>
      <c r="K38" s="39"/>
      <c r="L38" s="39"/>
      <c r="M38" s="39"/>
      <c r="N38" s="39"/>
      <c r="O38" s="39"/>
      <c r="P38" s="39"/>
      <c r="Q38" s="39"/>
      <c r="R38" s="42"/>
    </row>
    <row r="39" spans="1:18" ht="15.75" x14ac:dyDescent="0.25">
      <c r="A39" s="299" t="s">
        <v>228</v>
      </c>
      <c r="B39" s="493" t="s">
        <v>521</v>
      </c>
      <c r="C39" s="493"/>
      <c r="D39" s="55"/>
      <c r="E39" s="39"/>
      <c r="F39" s="39"/>
      <c r="G39" s="39"/>
      <c r="H39" s="494"/>
      <c r="I39" s="494"/>
      <c r="J39" s="494"/>
      <c r="K39" s="39"/>
      <c r="L39" s="39"/>
      <c r="M39" s="39"/>
      <c r="N39" s="39"/>
      <c r="O39" s="39"/>
      <c r="P39" s="39"/>
      <c r="Q39" s="39"/>
      <c r="R39" s="42"/>
    </row>
    <row r="40" spans="1:18" ht="15.75" x14ac:dyDescent="0.25">
      <c r="A40" s="492" t="s">
        <v>210</v>
      </c>
      <c r="B40" s="493"/>
      <c r="C40" s="297"/>
      <c r="D40" s="56"/>
      <c r="E40" s="39"/>
      <c r="F40" s="39"/>
      <c r="G40" s="39"/>
      <c r="H40" s="494"/>
      <c r="I40" s="494"/>
      <c r="J40" s="494"/>
      <c r="K40" s="39"/>
      <c r="L40" s="39"/>
      <c r="M40" s="39"/>
      <c r="N40" s="39"/>
      <c r="O40" s="39"/>
      <c r="P40" s="39"/>
      <c r="Q40" s="39"/>
      <c r="R40" s="42"/>
    </row>
    <row r="41" spans="1:18" ht="15.75" x14ac:dyDescent="0.25">
      <c r="A41" s="495" t="s">
        <v>211</v>
      </c>
      <c r="B41" s="494"/>
      <c r="C41" s="494"/>
      <c r="D41" s="55"/>
      <c r="E41" s="39"/>
      <c r="F41" s="39"/>
      <c r="G41" s="39"/>
      <c r="H41" s="494"/>
      <c r="I41" s="494"/>
      <c r="J41" s="494"/>
      <c r="K41" s="39"/>
      <c r="L41" s="39"/>
      <c r="M41" s="39"/>
      <c r="N41" s="39"/>
      <c r="O41" s="39"/>
      <c r="P41" s="39"/>
      <c r="Q41" s="39"/>
      <c r="R41" s="42"/>
    </row>
    <row r="42" spans="1:18" ht="15.75" x14ac:dyDescent="0.25">
      <c r="A42" s="496" t="s">
        <v>212</v>
      </c>
      <c r="B42" s="496"/>
      <c r="C42" s="496"/>
      <c r="D42" s="496"/>
      <c r="E42" s="496"/>
      <c r="F42" s="496" t="s">
        <v>213</v>
      </c>
      <c r="G42" s="496"/>
      <c r="H42" s="496"/>
      <c r="I42" s="496"/>
      <c r="J42" s="496"/>
      <c r="K42" s="497" t="s">
        <v>221</v>
      </c>
      <c r="L42" s="497"/>
      <c r="M42" s="497"/>
      <c r="N42" s="497"/>
      <c r="O42" s="496" t="s">
        <v>222</v>
      </c>
      <c r="P42" s="496"/>
      <c r="Q42" s="496"/>
      <c r="R42" s="496"/>
    </row>
    <row r="43" spans="1:18" ht="31.5" x14ac:dyDescent="0.25">
      <c r="A43" s="300" t="s">
        <v>0</v>
      </c>
      <c r="B43" s="300" t="s">
        <v>1</v>
      </c>
      <c r="C43" s="300" t="s">
        <v>214</v>
      </c>
      <c r="D43" s="57" t="s">
        <v>215</v>
      </c>
      <c r="E43" s="49" t="s">
        <v>216</v>
      </c>
      <c r="F43" s="300" t="s">
        <v>0</v>
      </c>
      <c r="G43" s="49" t="s">
        <v>217</v>
      </c>
      <c r="H43" s="300" t="s">
        <v>218</v>
      </c>
      <c r="I43" s="49" t="s">
        <v>219</v>
      </c>
      <c r="J43" s="49" t="s">
        <v>216</v>
      </c>
      <c r="K43" s="300" t="s">
        <v>0</v>
      </c>
      <c r="L43" s="49" t="s">
        <v>321</v>
      </c>
      <c r="M43" s="49" t="s">
        <v>224</v>
      </c>
      <c r="N43" s="49" t="s">
        <v>216</v>
      </c>
      <c r="O43" s="496"/>
      <c r="P43" s="496"/>
      <c r="Q43" s="496"/>
      <c r="R43" s="496"/>
    </row>
    <row r="44" spans="1:18" ht="15.75" x14ac:dyDescent="0.25">
      <c r="A44" s="50"/>
      <c r="B44" s="14" t="s">
        <v>81</v>
      </c>
      <c r="C44" s="47">
        <v>1</v>
      </c>
      <c r="D44" s="51">
        <f>+'kardex reactivos 1'!G116</f>
        <v>0.63</v>
      </c>
      <c r="E44" s="51">
        <f>+C44*D44</f>
        <v>0.63</v>
      </c>
      <c r="F44" s="37"/>
      <c r="G44" s="37"/>
      <c r="H44" s="358">
        <f>+'Minutos MOD por exmen '!C4</f>
        <v>0.25</v>
      </c>
      <c r="I44" s="53">
        <f>+'tasa MOD '!I37</f>
        <v>4.4725192584766118</v>
      </c>
      <c r="J44" s="368">
        <f>+I44*H44</f>
        <v>1.118129814619153</v>
      </c>
      <c r="K44" s="37"/>
      <c r="L44" s="37">
        <f>+J47</f>
        <v>1.118129814619153</v>
      </c>
      <c r="M44" s="109">
        <f>+'tasa cif'!G9</f>
        <v>0.76985269116945931</v>
      </c>
      <c r="N44" s="37">
        <f>+L44*M44</f>
        <v>0.86079524686136355</v>
      </c>
      <c r="O44" s="505" t="s">
        <v>225</v>
      </c>
      <c r="P44" s="505"/>
      <c r="Q44" s="35">
        <f>+E47</f>
        <v>0.63</v>
      </c>
      <c r="R44" s="38"/>
    </row>
    <row r="45" spans="1:18" ht="15.75" x14ac:dyDescent="0.25">
      <c r="A45" s="50"/>
      <c r="B45" s="14"/>
      <c r="C45" s="47"/>
      <c r="D45" s="51"/>
      <c r="E45" s="51"/>
      <c r="F45" s="37"/>
      <c r="G45" s="37"/>
      <c r="H45" s="37"/>
      <c r="I45" s="53"/>
      <c r="J45" s="368"/>
      <c r="K45" s="37"/>
      <c r="L45" s="37"/>
      <c r="M45" s="109"/>
      <c r="N45" s="37"/>
      <c r="O45" s="505" t="s">
        <v>226</v>
      </c>
      <c r="P45" s="505"/>
      <c r="Q45">
        <f>+J47</f>
        <v>1.118129814619153</v>
      </c>
      <c r="R45" s="38"/>
    </row>
    <row r="46" spans="1:18" ht="15.75" x14ac:dyDescent="0.25">
      <c r="A46" s="50"/>
      <c r="B46" s="312"/>
      <c r="C46" s="47"/>
      <c r="D46" s="51">
        <f>+'kardex reactivos 1'!G95</f>
        <v>0</v>
      </c>
      <c r="E46" s="51">
        <f t="shared" ref="E46" si="2">+C46*D46</f>
        <v>0</v>
      </c>
      <c r="F46" s="37"/>
      <c r="G46" s="37"/>
      <c r="H46" s="37"/>
      <c r="I46" s="37"/>
      <c r="J46" s="358"/>
      <c r="K46" s="37"/>
      <c r="L46" s="37"/>
      <c r="M46" s="37"/>
      <c r="N46" s="37"/>
      <c r="O46" s="43" t="s">
        <v>227</v>
      </c>
      <c r="P46" s="301"/>
      <c r="Q46">
        <f>+N47</f>
        <v>0.86079524686136355</v>
      </c>
      <c r="R46" s="38"/>
    </row>
    <row r="47" spans="1:18" ht="16.5" thickBot="1" x14ac:dyDescent="0.3">
      <c r="A47" s="489" t="s">
        <v>220</v>
      </c>
      <c r="B47" s="489"/>
      <c r="C47" s="489"/>
      <c r="D47" s="489"/>
      <c r="E47" s="52">
        <f>SUM(E44:E46)</f>
        <v>0.63</v>
      </c>
      <c r="F47" s="37"/>
      <c r="G47" s="37"/>
      <c r="H47" s="489" t="s">
        <v>220</v>
      </c>
      <c r="I47" s="489"/>
      <c r="J47" s="359">
        <f>+J44</f>
        <v>1.118129814619153</v>
      </c>
      <c r="K47" s="37"/>
      <c r="L47" s="37"/>
      <c r="M47" s="37"/>
      <c r="N47" s="37">
        <f>+N44</f>
        <v>0.86079524686136355</v>
      </c>
      <c r="O47" s="360"/>
      <c r="P47" s="361"/>
      <c r="Q47" s="356">
        <f>SUM(Q44:Q46)</f>
        <v>2.6089250614805168</v>
      </c>
      <c r="R47" s="357"/>
    </row>
    <row r="48" spans="1:18" ht="15.75" thickTop="1" x14ac:dyDescent="0.25"/>
    <row r="50" spans="1:18" ht="15.75" x14ac:dyDescent="0.25">
      <c r="A50" s="506" t="s">
        <v>208</v>
      </c>
      <c r="B50" s="507"/>
      <c r="C50" s="507"/>
      <c r="D50" s="507"/>
      <c r="E50" s="507"/>
      <c r="F50" s="507"/>
      <c r="G50" s="507"/>
      <c r="H50" s="507"/>
      <c r="I50" s="507"/>
      <c r="J50" s="507"/>
      <c r="K50" s="507"/>
      <c r="L50" s="507"/>
      <c r="M50" s="507"/>
      <c r="N50" s="507"/>
      <c r="O50" s="507"/>
      <c r="P50" s="507"/>
      <c r="Q50" s="507"/>
      <c r="R50" s="508"/>
    </row>
    <row r="51" spans="1:18" ht="15.75" x14ac:dyDescent="0.25">
      <c r="A51" s="299" t="s">
        <v>209</v>
      </c>
      <c r="B51" s="297"/>
      <c r="C51" s="39"/>
      <c r="D51" s="55"/>
      <c r="E51" s="39"/>
      <c r="F51" s="39"/>
      <c r="G51" s="39"/>
      <c r="H51" s="494"/>
      <c r="I51" s="494"/>
      <c r="J51" s="494"/>
      <c r="K51" s="39"/>
      <c r="L51" s="39"/>
      <c r="M51" s="39"/>
      <c r="N51" s="39"/>
      <c r="O51" s="39"/>
      <c r="P51" s="39"/>
      <c r="Q51" s="39"/>
      <c r="R51" s="42"/>
    </row>
    <row r="52" spans="1:18" ht="15.75" x14ac:dyDescent="0.25">
      <c r="A52" s="299" t="s">
        <v>228</v>
      </c>
      <c r="B52" s="493" t="s">
        <v>135</v>
      </c>
      <c r="C52" s="493"/>
      <c r="D52" s="55"/>
      <c r="E52" s="39"/>
      <c r="F52" s="39"/>
      <c r="G52" s="39"/>
      <c r="H52" s="494"/>
      <c r="I52" s="494"/>
      <c r="J52" s="494"/>
      <c r="K52" s="39"/>
      <c r="L52" s="39"/>
      <c r="M52" s="39"/>
      <c r="N52" s="39"/>
      <c r="O52" s="39"/>
      <c r="P52" s="39"/>
      <c r="Q52" s="39"/>
      <c r="R52" s="42"/>
    </row>
    <row r="53" spans="1:18" ht="15.75" x14ac:dyDescent="0.25">
      <c r="A53" s="492" t="s">
        <v>210</v>
      </c>
      <c r="B53" s="493"/>
      <c r="C53" s="297"/>
      <c r="D53" s="56"/>
      <c r="E53" s="39"/>
      <c r="F53" s="39"/>
      <c r="G53" s="39"/>
      <c r="H53" s="494"/>
      <c r="I53" s="494"/>
      <c r="J53" s="494"/>
      <c r="K53" s="39"/>
      <c r="L53" s="39"/>
      <c r="M53" s="39"/>
      <c r="N53" s="39"/>
      <c r="O53" s="39"/>
      <c r="P53" s="39"/>
      <c r="Q53" s="39"/>
      <c r="R53" s="42"/>
    </row>
    <row r="54" spans="1:18" ht="15.75" x14ac:dyDescent="0.25">
      <c r="A54" s="495" t="s">
        <v>211</v>
      </c>
      <c r="B54" s="494"/>
      <c r="C54" s="494"/>
      <c r="D54" s="55"/>
      <c r="E54" s="39"/>
      <c r="F54" s="39"/>
      <c r="G54" s="39"/>
      <c r="H54" s="494"/>
      <c r="I54" s="494"/>
      <c r="J54" s="494"/>
      <c r="K54" s="39"/>
      <c r="L54" s="39"/>
      <c r="M54" s="39"/>
      <c r="N54" s="39"/>
      <c r="O54" s="39"/>
      <c r="P54" s="39"/>
      <c r="Q54" s="39"/>
      <c r="R54" s="42"/>
    </row>
    <row r="55" spans="1:18" ht="15.75" x14ac:dyDescent="0.25">
      <c r="A55" s="496" t="s">
        <v>212</v>
      </c>
      <c r="B55" s="496"/>
      <c r="C55" s="496"/>
      <c r="D55" s="496"/>
      <c r="E55" s="496"/>
      <c r="F55" s="496" t="s">
        <v>213</v>
      </c>
      <c r="G55" s="496"/>
      <c r="H55" s="496"/>
      <c r="I55" s="496"/>
      <c r="J55" s="496"/>
      <c r="K55" s="497" t="s">
        <v>221</v>
      </c>
      <c r="L55" s="497"/>
      <c r="M55" s="497"/>
      <c r="N55" s="497"/>
      <c r="O55" s="496" t="s">
        <v>222</v>
      </c>
      <c r="P55" s="496"/>
      <c r="Q55" s="496"/>
      <c r="R55" s="496"/>
    </row>
    <row r="56" spans="1:18" ht="31.5" x14ac:dyDescent="0.25">
      <c r="A56" s="300" t="s">
        <v>0</v>
      </c>
      <c r="B56" s="300" t="s">
        <v>1</v>
      </c>
      <c r="C56" s="300" t="s">
        <v>214</v>
      </c>
      <c r="D56" s="57" t="s">
        <v>215</v>
      </c>
      <c r="E56" s="49" t="s">
        <v>216</v>
      </c>
      <c r="F56" s="300" t="s">
        <v>0</v>
      </c>
      <c r="G56" s="49" t="s">
        <v>217</v>
      </c>
      <c r="H56" s="300" t="s">
        <v>218</v>
      </c>
      <c r="I56" s="49" t="s">
        <v>219</v>
      </c>
      <c r="J56" s="49" t="s">
        <v>216</v>
      </c>
      <c r="K56" s="300" t="s">
        <v>0</v>
      </c>
      <c r="L56" s="49" t="s">
        <v>321</v>
      </c>
      <c r="M56" s="49" t="s">
        <v>224</v>
      </c>
      <c r="N56" s="49" t="s">
        <v>216</v>
      </c>
      <c r="O56" s="496"/>
      <c r="P56" s="496"/>
      <c r="Q56" s="496"/>
      <c r="R56" s="496"/>
    </row>
    <row r="57" spans="1:18" ht="15.75" x14ac:dyDescent="0.25">
      <c r="A57" s="50"/>
      <c r="B57" s="14" t="s">
        <v>135</v>
      </c>
      <c r="C57" s="47">
        <v>2</v>
      </c>
      <c r="D57" s="51">
        <f>+'kardex reactivos 2'!G251</f>
        <v>0.2</v>
      </c>
      <c r="E57" s="51">
        <f>+C57*D57</f>
        <v>0.4</v>
      </c>
      <c r="F57" s="37"/>
      <c r="G57" s="37"/>
      <c r="H57" s="37">
        <f>+'Minutos MOD por exmen '!C5</f>
        <v>0.21666666666666667</v>
      </c>
      <c r="I57" s="100">
        <f>+'tasa MOD '!I37</f>
        <v>4.4725192584766118</v>
      </c>
      <c r="J57" s="37">
        <f>+H57*I57</f>
        <v>0.96904583933659927</v>
      </c>
      <c r="K57" s="37"/>
      <c r="L57" s="37">
        <f>+J61</f>
        <v>0.96904583933659927</v>
      </c>
      <c r="M57" s="109">
        <f>+'tasa cif'!G9</f>
        <v>0.76985269116945931</v>
      </c>
      <c r="N57" s="37">
        <f>+L57*M57</f>
        <v>0.7460225472798484</v>
      </c>
      <c r="O57" s="505" t="s">
        <v>225</v>
      </c>
      <c r="P57" s="505"/>
      <c r="Q57" s="35">
        <f>+E61</f>
        <v>0.4</v>
      </c>
      <c r="R57" s="38"/>
    </row>
    <row r="58" spans="1:18" ht="15.75" x14ac:dyDescent="0.25">
      <c r="A58" s="50"/>
      <c r="B58" s="16"/>
      <c r="C58" s="47"/>
      <c r="D58" s="51">
        <f>+'kardex reactivos 1'!G54</f>
        <v>0</v>
      </c>
      <c r="E58" s="51">
        <f>+C58*D58</f>
        <v>0</v>
      </c>
      <c r="F58" s="37"/>
      <c r="G58" s="37"/>
      <c r="H58" s="37"/>
      <c r="I58" s="37"/>
      <c r="J58" s="37"/>
      <c r="K58" s="37"/>
      <c r="L58" s="37"/>
      <c r="M58" s="37"/>
      <c r="N58" s="37"/>
      <c r="O58" s="505" t="s">
        <v>226</v>
      </c>
      <c r="P58" s="505"/>
      <c r="Q58">
        <f>+J61</f>
        <v>0.96904583933659927</v>
      </c>
      <c r="R58" s="38"/>
    </row>
    <row r="59" spans="1:18" ht="15.75" x14ac:dyDescent="0.25">
      <c r="A59" s="50"/>
      <c r="B59" s="312"/>
      <c r="C59" s="47"/>
      <c r="D59" s="51">
        <f>+'kardex reactivos 1'!G68</f>
        <v>0</v>
      </c>
      <c r="E59" s="51">
        <f>+C59*D59</f>
        <v>0</v>
      </c>
      <c r="F59" s="37"/>
      <c r="G59" s="37"/>
      <c r="H59" s="37"/>
      <c r="I59" s="37"/>
      <c r="J59" s="37"/>
      <c r="K59" s="37"/>
      <c r="L59" s="37"/>
      <c r="M59" s="37"/>
      <c r="N59" s="37"/>
      <c r="O59" s="43" t="s">
        <v>227</v>
      </c>
      <c r="P59" s="301"/>
      <c r="Q59">
        <f>+N61</f>
        <v>0.7460225472798484</v>
      </c>
      <c r="R59" s="38"/>
    </row>
    <row r="60" spans="1:18" ht="16.5" thickBot="1" x14ac:dyDescent="0.3">
      <c r="A60" s="50"/>
      <c r="B60" s="14"/>
      <c r="C60" s="47"/>
      <c r="D60" s="51">
        <f>+'kardex reactivos 1'!G81</f>
        <v>0</v>
      </c>
      <c r="E60" s="51">
        <f>+C60*D60</f>
        <v>0</v>
      </c>
      <c r="F60" s="37"/>
      <c r="G60" s="37"/>
      <c r="H60" s="37"/>
      <c r="I60" s="37"/>
      <c r="J60" s="37"/>
      <c r="K60" s="37"/>
      <c r="L60" s="37"/>
      <c r="M60" s="37"/>
      <c r="N60" s="37"/>
      <c r="O60" s="301"/>
      <c r="P60" s="301"/>
      <c r="Q60" s="356">
        <f>SUM(Q57:Q59)</f>
        <v>2.1150683866164477</v>
      </c>
      <c r="R60" s="38"/>
    </row>
    <row r="61" spans="1:18" ht="16.5" thickTop="1" x14ac:dyDescent="0.25">
      <c r="A61" s="489" t="s">
        <v>220</v>
      </c>
      <c r="B61" s="489"/>
      <c r="C61" s="489"/>
      <c r="D61" s="489"/>
      <c r="E61" s="52">
        <f>SUM(E57:E60)</f>
        <v>0.4</v>
      </c>
      <c r="F61" s="37"/>
      <c r="G61" s="37"/>
      <c r="H61" s="489" t="s">
        <v>220</v>
      </c>
      <c r="I61" s="489"/>
      <c r="J61" s="53">
        <f>+J57</f>
        <v>0.96904583933659927</v>
      </c>
      <c r="K61" s="37"/>
      <c r="L61" s="37"/>
      <c r="M61" s="37"/>
      <c r="N61" s="37">
        <f>+N57</f>
        <v>0.7460225472798484</v>
      </c>
      <c r="O61" s="490"/>
      <c r="P61" s="491"/>
      <c r="Q61" s="367"/>
      <c r="R61" s="357"/>
    </row>
    <row r="64" spans="1:18" ht="15.75" x14ac:dyDescent="0.25">
      <c r="A64" s="506" t="s">
        <v>208</v>
      </c>
      <c r="B64" s="507"/>
      <c r="C64" s="507"/>
      <c r="D64" s="507"/>
      <c r="E64" s="507"/>
      <c r="F64" s="507"/>
      <c r="G64" s="507"/>
      <c r="H64" s="507"/>
      <c r="I64" s="507"/>
      <c r="J64" s="507"/>
      <c r="K64" s="507"/>
      <c r="L64" s="507"/>
      <c r="M64" s="507"/>
      <c r="N64" s="507"/>
      <c r="O64" s="507"/>
      <c r="P64" s="507"/>
      <c r="Q64" s="507"/>
      <c r="R64" s="508"/>
    </row>
    <row r="65" spans="1:18" ht="15.75" x14ac:dyDescent="0.25">
      <c r="A65" s="299" t="s">
        <v>209</v>
      </c>
      <c r="B65" s="297"/>
      <c r="C65" s="39"/>
      <c r="D65" s="55"/>
      <c r="E65" s="39"/>
      <c r="F65" s="39"/>
      <c r="G65" s="39"/>
      <c r="H65" s="494"/>
      <c r="I65" s="494"/>
      <c r="J65" s="494"/>
      <c r="K65" s="39"/>
      <c r="L65" s="39"/>
      <c r="M65" s="39"/>
      <c r="N65" s="39"/>
      <c r="O65" s="39"/>
      <c r="P65" s="39"/>
      <c r="Q65" s="39"/>
      <c r="R65" s="42"/>
    </row>
    <row r="66" spans="1:18" ht="15.75" x14ac:dyDescent="0.25">
      <c r="A66" s="299" t="s">
        <v>228</v>
      </c>
      <c r="B66" s="493" t="s">
        <v>524</v>
      </c>
      <c r="C66" s="493"/>
      <c r="D66" s="55"/>
      <c r="E66" s="39"/>
      <c r="F66" s="39"/>
      <c r="G66" s="39"/>
      <c r="H66" s="494"/>
      <c r="I66" s="494"/>
      <c r="J66" s="494"/>
      <c r="K66" s="39"/>
      <c r="L66" s="39"/>
      <c r="M66" s="39"/>
      <c r="N66" s="39"/>
      <c r="O66" s="39"/>
      <c r="P66" s="39"/>
      <c r="Q66" s="39"/>
      <c r="R66" s="42"/>
    </row>
    <row r="67" spans="1:18" ht="15.75" x14ac:dyDescent="0.25">
      <c r="A67" s="492" t="s">
        <v>210</v>
      </c>
      <c r="B67" s="493"/>
      <c r="C67" s="297"/>
      <c r="D67" s="56"/>
      <c r="E67" s="39"/>
      <c r="F67" s="39"/>
      <c r="G67" s="39"/>
      <c r="H67" s="494"/>
      <c r="I67" s="494"/>
      <c r="J67" s="494"/>
      <c r="K67" s="39"/>
      <c r="L67" s="39"/>
      <c r="M67" s="39"/>
      <c r="N67" s="39"/>
      <c r="O67" s="39"/>
      <c r="P67" s="39"/>
      <c r="Q67" s="39"/>
      <c r="R67" s="42"/>
    </row>
    <row r="68" spans="1:18" ht="15.75" x14ac:dyDescent="0.25">
      <c r="A68" s="495" t="s">
        <v>211</v>
      </c>
      <c r="B68" s="494"/>
      <c r="C68" s="494"/>
      <c r="D68" s="55"/>
      <c r="E68" s="39"/>
      <c r="F68" s="39"/>
      <c r="G68" s="39"/>
      <c r="H68" s="494"/>
      <c r="I68" s="494"/>
      <c r="J68" s="494"/>
      <c r="K68" s="39"/>
      <c r="L68" s="39"/>
      <c r="M68" s="39"/>
      <c r="N68" s="39"/>
      <c r="O68" s="39"/>
      <c r="P68" s="39"/>
      <c r="Q68" s="39"/>
      <c r="R68" s="42"/>
    </row>
    <row r="69" spans="1:18" ht="15.75" x14ac:dyDescent="0.25">
      <c r="A69" s="496" t="s">
        <v>212</v>
      </c>
      <c r="B69" s="496"/>
      <c r="C69" s="496"/>
      <c r="D69" s="496"/>
      <c r="E69" s="496"/>
      <c r="F69" s="496" t="s">
        <v>213</v>
      </c>
      <c r="G69" s="496"/>
      <c r="H69" s="496"/>
      <c r="I69" s="496"/>
      <c r="J69" s="496"/>
      <c r="K69" s="497" t="s">
        <v>221</v>
      </c>
      <c r="L69" s="497"/>
      <c r="M69" s="497"/>
      <c r="N69" s="497"/>
      <c r="O69" s="496" t="s">
        <v>222</v>
      </c>
      <c r="P69" s="496"/>
      <c r="Q69" s="496"/>
      <c r="R69" s="496"/>
    </row>
    <row r="70" spans="1:18" ht="31.5" x14ac:dyDescent="0.25">
      <c r="A70" s="300" t="s">
        <v>0</v>
      </c>
      <c r="B70" s="300" t="s">
        <v>1</v>
      </c>
      <c r="C70" s="300" t="s">
        <v>214</v>
      </c>
      <c r="D70" s="57" t="s">
        <v>215</v>
      </c>
      <c r="E70" s="49" t="s">
        <v>216</v>
      </c>
      <c r="F70" s="300" t="s">
        <v>0</v>
      </c>
      <c r="G70" s="49" t="s">
        <v>217</v>
      </c>
      <c r="H70" s="300" t="s">
        <v>218</v>
      </c>
      <c r="I70" s="49" t="s">
        <v>219</v>
      </c>
      <c r="J70" s="49" t="s">
        <v>216</v>
      </c>
      <c r="K70" s="300" t="s">
        <v>0</v>
      </c>
      <c r="L70" s="49" t="s">
        <v>321</v>
      </c>
      <c r="M70" s="49" t="s">
        <v>224</v>
      </c>
      <c r="N70" s="49" t="s">
        <v>216</v>
      </c>
      <c r="O70" s="496"/>
      <c r="P70" s="496"/>
      <c r="Q70" s="496"/>
      <c r="R70" s="496"/>
    </row>
    <row r="71" spans="1:18" ht="15.75" x14ac:dyDescent="0.25">
      <c r="A71" s="50"/>
      <c r="B71" s="16" t="s">
        <v>178</v>
      </c>
      <c r="C71" s="396">
        <v>2.5</v>
      </c>
      <c r="D71" s="51">
        <f>+'kardex reactivos 3'!G239</f>
        <v>0.6</v>
      </c>
      <c r="E71" s="51">
        <f>+C71*D71</f>
        <v>1.5</v>
      </c>
      <c r="F71" s="37"/>
      <c r="G71" s="37"/>
      <c r="H71" s="37">
        <f>+'Minutos MOD por exmen '!C6</f>
        <v>0.1</v>
      </c>
      <c r="I71" s="100">
        <f>+'tasa MOD '!I37</f>
        <v>4.4725192584766118</v>
      </c>
      <c r="J71" s="37">
        <f>+H71*I71</f>
        <v>0.44725192584766121</v>
      </c>
      <c r="K71" s="37"/>
      <c r="L71" s="37">
        <f>+J75</f>
        <v>0.44725192584766121</v>
      </c>
      <c r="M71" s="109">
        <f>+'tasa cif'!G9</f>
        <v>0.76985269116945931</v>
      </c>
      <c r="N71" s="37">
        <f>+L71*M71</f>
        <v>0.34431809874454544</v>
      </c>
      <c r="O71" s="505" t="s">
        <v>225</v>
      </c>
      <c r="P71" s="505"/>
      <c r="Q71" s="35">
        <f>+E75</f>
        <v>1.55</v>
      </c>
      <c r="R71" s="38"/>
    </row>
    <row r="72" spans="1:18" ht="15.75" x14ac:dyDescent="0.25">
      <c r="A72" s="50"/>
      <c r="B72" s="16" t="s">
        <v>120</v>
      </c>
      <c r="C72" s="396">
        <v>1</v>
      </c>
      <c r="D72" s="51">
        <f>+'kardex reactivos 2'!G114</f>
        <v>0.05</v>
      </c>
      <c r="E72" s="51">
        <f>+C72*D72</f>
        <v>0.05</v>
      </c>
      <c r="F72" s="37"/>
      <c r="G72" s="37"/>
      <c r="H72" s="37"/>
      <c r="I72" s="37"/>
      <c r="J72" s="37"/>
      <c r="K72" s="37"/>
      <c r="L72" s="37"/>
      <c r="M72" s="37"/>
      <c r="N72" s="37"/>
      <c r="O72" s="505" t="s">
        <v>226</v>
      </c>
      <c r="P72" s="505"/>
      <c r="Q72">
        <f>+J75</f>
        <v>0.44725192584766121</v>
      </c>
      <c r="R72" s="38"/>
    </row>
    <row r="73" spans="1:18" ht="15.75" x14ac:dyDescent="0.25">
      <c r="A73" s="50"/>
      <c r="B73" s="312"/>
      <c r="C73" s="47"/>
      <c r="D73" s="51">
        <f>+'kardex reactivos 1'!G82</f>
        <v>0</v>
      </c>
      <c r="E73" s="51">
        <f>+C73*D73</f>
        <v>0</v>
      </c>
      <c r="F73" s="37"/>
      <c r="G73" s="37"/>
      <c r="H73" s="37"/>
      <c r="I73" s="37"/>
      <c r="J73" s="37"/>
      <c r="K73" s="37"/>
      <c r="L73" s="37"/>
      <c r="M73" s="37"/>
      <c r="N73" s="37"/>
      <c r="O73" s="43" t="s">
        <v>227</v>
      </c>
      <c r="P73" s="301"/>
      <c r="Q73">
        <f>+N75</f>
        <v>0.34431809874454544</v>
      </c>
      <c r="R73" s="38"/>
    </row>
    <row r="74" spans="1:18" ht="16.5" thickBot="1" x14ac:dyDescent="0.3">
      <c r="A74" s="50"/>
      <c r="B74" s="312"/>
      <c r="C74" s="47"/>
      <c r="D74" s="51"/>
      <c r="E74" s="51"/>
      <c r="F74" s="37"/>
      <c r="G74" s="37"/>
      <c r="H74" s="37"/>
      <c r="I74" s="37"/>
      <c r="J74" s="37"/>
      <c r="K74" s="37"/>
      <c r="L74" s="37"/>
      <c r="M74" s="37"/>
      <c r="N74" s="37"/>
      <c r="O74" s="43"/>
      <c r="P74" s="301"/>
      <c r="Q74" s="356">
        <f>SUM(Q71:Q73)</f>
        <v>2.3415700245922069</v>
      </c>
      <c r="R74" s="38"/>
    </row>
    <row r="75" spans="1:18" ht="16.5" thickTop="1" x14ac:dyDescent="0.25">
      <c r="A75" s="489" t="s">
        <v>220</v>
      </c>
      <c r="B75" s="489"/>
      <c r="C75" s="489"/>
      <c r="D75" s="489"/>
      <c r="E75" s="52">
        <f>SUM(E71:E74)</f>
        <v>1.55</v>
      </c>
      <c r="F75" s="37"/>
      <c r="G75" s="37"/>
      <c r="H75" s="489" t="s">
        <v>220</v>
      </c>
      <c r="I75" s="489"/>
      <c r="J75" s="53">
        <f>+J71</f>
        <v>0.44725192584766121</v>
      </c>
      <c r="K75" s="37"/>
      <c r="L75" s="37"/>
      <c r="M75" s="37"/>
      <c r="N75" s="37">
        <f>+N71</f>
        <v>0.34431809874454544</v>
      </c>
      <c r="O75" s="490"/>
      <c r="P75" s="491"/>
      <c r="Q75" s="367"/>
      <c r="R75" s="357"/>
    </row>
    <row r="78" spans="1:18" ht="15.75" x14ac:dyDescent="0.25">
      <c r="A78" s="506" t="s">
        <v>208</v>
      </c>
      <c r="B78" s="507"/>
      <c r="C78" s="507"/>
      <c r="D78" s="507"/>
      <c r="E78" s="507"/>
      <c r="F78" s="507"/>
      <c r="G78" s="507"/>
      <c r="H78" s="507"/>
      <c r="I78" s="507"/>
      <c r="J78" s="507"/>
      <c r="K78" s="507"/>
      <c r="L78" s="507"/>
      <c r="M78" s="507"/>
      <c r="N78" s="507"/>
      <c r="O78" s="507"/>
      <c r="P78" s="507"/>
      <c r="Q78" s="507"/>
      <c r="R78" s="508"/>
    </row>
    <row r="79" spans="1:18" ht="15.75" x14ac:dyDescent="0.25">
      <c r="A79" s="299" t="s">
        <v>209</v>
      </c>
      <c r="B79" s="297"/>
      <c r="C79" s="39"/>
      <c r="D79" s="55"/>
      <c r="E79" s="39"/>
      <c r="F79" s="39"/>
      <c r="G79" s="39"/>
      <c r="H79" s="494"/>
      <c r="I79" s="494"/>
      <c r="J79" s="494"/>
      <c r="K79" s="39"/>
      <c r="L79" s="39"/>
      <c r="M79" s="39"/>
      <c r="N79" s="39"/>
      <c r="O79" s="39"/>
      <c r="P79" s="39"/>
      <c r="Q79" s="39"/>
      <c r="R79" s="42"/>
    </row>
    <row r="80" spans="1:18" ht="15.75" x14ac:dyDescent="0.25">
      <c r="A80" s="299" t="s">
        <v>228</v>
      </c>
      <c r="B80" s="493" t="s">
        <v>526</v>
      </c>
      <c r="C80" s="493"/>
      <c r="D80" s="55"/>
      <c r="E80" s="39"/>
      <c r="F80" s="39"/>
      <c r="G80" s="39"/>
      <c r="H80" s="494"/>
      <c r="I80" s="494"/>
      <c r="J80" s="494"/>
      <c r="K80" s="39"/>
      <c r="L80" s="39"/>
      <c r="M80" s="39"/>
      <c r="N80" s="39"/>
      <c r="O80" s="39"/>
      <c r="P80" s="39"/>
      <c r="Q80" s="39"/>
      <c r="R80" s="42"/>
    </row>
    <row r="81" spans="1:18" ht="15.75" x14ac:dyDescent="0.25">
      <c r="A81" s="492" t="s">
        <v>210</v>
      </c>
      <c r="B81" s="493"/>
      <c r="C81" s="297"/>
      <c r="D81" s="56"/>
      <c r="E81" s="39"/>
      <c r="F81" s="39"/>
      <c r="G81" s="39"/>
      <c r="H81" s="494"/>
      <c r="I81" s="494"/>
      <c r="J81" s="494"/>
      <c r="K81" s="39"/>
      <c r="L81" s="39"/>
      <c r="M81" s="39"/>
      <c r="N81" s="39"/>
      <c r="O81" s="39"/>
      <c r="P81" s="39"/>
      <c r="Q81" s="39"/>
      <c r="R81" s="42"/>
    </row>
    <row r="82" spans="1:18" ht="15.75" x14ac:dyDescent="0.25">
      <c r="A82" s="495" t="s">
        <v>211</v>
      </c>
      <c r="B82" s="494"/>
      <c r="C82" s="494"/>
      <c r="D82" s="55"/>
      <c r="E82" s="39"/>
      <c r="F82" s="39"/>
      <c r="G82" s="39"/>
      <c r="H82" s="494"/>
      <c r="I82" s="494"/>
      <c r="J82" s="494"/>
      <c r="K82" s="39"/>
      <c r="L82" s="39"/>
      <c r="M82" s="39"/>
      <c r="N82" s="39"/>
      <c r="O82" s="39"/>
      <c r="P82" s="39"/>
      <c r="Q82" s="39"/>
      <c r="R82" s="42"/>
    </row>
    <row r="83" spans="1:18" ht="15.75" x14ac:dyDescent="0.25">
      <c r="A83" s="496" t="s">
        <v>212</v>
      </c>
      <c r="B83" s="496"/>
      <c r="C83" s="496"/>
      <c r="D83" s="496"/>
      <c r="E83" s="496"/>
      <c r="F83" s="496" t="s">
        <v>213</v>
      </c>
      <c r="G83" s="496"/>
      <c r="H83" s="496"/>
      <c r="I83" s="496"/>
      <c r="J83" s="496"/>
      <c r="K83" s="497" t="s">
        <v>221</v>
      </c>
      <c r="L83" s="497"/>
      <c r="M83" s="497"/>
      <c r="N83" s="497"/>
      <c r="O83" s="496" t="s">
        <v>222</v>
      </c>
      <c r="P83" s="496"/>
      <c r="Q83" s="496"/>
      <c r="R83" s="496"/>
    </row>
    <row r="84" spans="1:18" ht="31.5" x14ac:dyDescent="0.25">
      <c r="A84" s="300" t="s">
        <v>0</v>
      </c>
      <c r="B84" s="300" t="s">
        <v>1</v>
      </c>
      <c r="C84" s="300" t="s">
        <v>214</v>
      </c>
      <c r="D84" s="57" t="s">
        <v>215</v>
      </c>
      <c r="E84" s="49" t="s">
        <v>216</v>
      </c>
      <c r="F84" s="300" t="s">
        <v>0</v>
      </c>
      <c r="G84" s="49" t="s">
        <v>217</v>
      </c>
      <c r="H84" s="300" t="s">
        <v>218</v>
      </c>
      <c r="I84" s="49" t="s">
        <v>219</v>
      </c>
      <c r="J84" s="49" t="s">
        <v>216</v>
      </c>
      <c r="K84" s="300" t="s">
        <v>0</v>
      </c>
      <c r="L84" s="49" t="s">
        <v>321</v>
      </c>
      <c r="M84" s="49" t="s">
        <v>224</v>
      </c>
      <c r="N84" s="49" t="s">
        <v>216</v>
      </c>
      <c r="O84" s="496"/>
      <c r="P84" s="496"/>
      <c r="Q84" s="496"/>
      <c r="R84" s="496"/>
    </row>
    <row r="85" spans="1:18" ht="15.75" x14ac:dyDescent="0.25">
      <c r="A85" s="50"/>
      <c r="B85" s="14" t="s">
        <v>173</v>
      </c>
      <c r="C85" s="396">
        <v>3</v>
      </c>
      <c r="D85" s="51">
        <f>+'kardex reactivos 3'!G188</f>
        <v>2.2499999999999999E-2</v>
      </c>
      <c r="E85" s="51">
        <f>+C85*D85</f>
        <v>6.7500000000000004E-2</v>
      </c>
      <c r="F85" s="37"/>
      <c r="G85" s="37"/>
      <c r="H85" s="37">
        <f>+'Minutos MOD por exmen '!C7</f>
        <v>0.15</v>
      </c>
      <c r="I85" s="100">
        <f>+'tasa MOD '!I37</f>
        <v>4.4725192584766118</v>
      </c>
      <c r="J85" s="37">
        <f>+I85*H85</f>
        <v>0.67087788877149179</v>
      </c>
      <c r="K85" s="37"/>
      <c r="L85" s="37">
        <f>+J91</f>
        <v>0.67087788877149179</v>
      </c>
      <c r="M85" s="109">
        <f>+'tasa cif'!G9</f>
        <v>0.76985269116945931</v>
      </c>
      <c r="N85" s="37">
        <f>+L85*M85</f>
        <v>0.51647714811681811</v>
      </c>
      <c r="O85" s="505" t="s">
        <v>225</v>
      </c>
      <c r="P85" s="505"/>
      <c r="Q85" s="35">
        <f>+E91</f>
        <v>9.7049999999999997E-2</v>
      </c>
      <c r="R85" s="38"/>
    </row>
    <row r="86" spans="1:18" ht="15.75" x14ac:dyDescent="0.25">
      <c r="A86" s="50"/>
      <c r="B86" s="14" t="s">
        <v>174</v>
      </c>
      <c r="C86" s="396">
        <v>1</v>
      </c>
      <c r="D86" s="51">
        <f>+'kardex reactivos 3'!G205</f>
        <v>2.955E-2</v>
      </c>
      <c r="E86" s="51">
        <f>+C86*D86</f>
        <v>2.955E-2</v>
      </c>
      <c r="F86" s="37"/>
      <c r="G86" s="37"/>
      <c r="H86" s="37"/>
      <c r="I86" s="37"/>
      <c r="J86" s="37"/>
      <c r="K86" s="37"/>
      <c r="L86" s="37"/>
      <c r="M86" s="37"/>
      <c r="N86" s="37"/>
      <c r="O86" s="505" t="s">
        <v>226</v>
      </c>
      <c r="P86" s="505"/>
      <c r="Q86">
        <f>+J91</f>
        <v>0.67087788877149179</v>
      </c>
      <c r="R86" s="38"/>
    </row>
    <row r="87" spans="1:18" ht="15.75" x14ac:dyDescent="0.25">
      <c r="A87" s="50"/>
      <c r="B87" s="312"/>
      <c r="C87" s="47"/>
      <c r="D87" s="51">
        <f>+'kardex reactivos 1'!G96</f>
        <v>0</v>
      </c>
      <c r="E87" s="51">
        <f>+C87*D87</f>
        <v>0</v>
      </c>
      <c r="F87" s="37"/>
      <c r="G87" s="37"/>
      <c r="H87" s="37"/>
      <c r="I87" s="37"/>
      <c r="J87" s="37"/>
      <c r="K87" s="37"/>
      <c r="L87" s="37"/>
      <c r="M87" s="37"/>
      <c r="N87" s="37"/>
      <c r="O87" s="43" t="s">
        <v>227</v>
      </c>
      <c r="P87" s="301"/>
      <c r="Q87">
        <f>+N91</f>
        <v>0.51647714811681811</v>
      </c>
      <c r="R87" s="38"/>
    </row>
    <row r="88" spans="1:18" ht="16.5" thickBot="1" x14ac:dyDescent="0.3">
      <c r="A88" s="50"/>
      <c r="B88" s="312"/>
      <c r="C88" s="47"/>
      <c r="D88" s="51"/>
      <c r="E88" s="51"/>
      <c r="F88" s="37"/>
      <c r="G88" s="37"/>
      <c r="H88" s="37"/>
      <c r="I88" s="37"/>
      <c r="J88" s="37"/>
      <c r="K88" s="37"/>
      <c r="L88" s="37"/>
      <c r="M88" s="37"/>
      <c r="N88" s="37"/>
      <c r="O88" s="43"/>
      <c r="P88" s="301"/>
      <c r="Q88" s="356">
        <f>SUM(Q85:Q87)</f>
        <v>1.2844050368883098</v>
      </c>
      <c r="R88" s="38"/>
    </row>
    <row r="89" spans="1:18" ht="16.5" thickTop="1" x14ac:dyDescent="0.25">
      <c r="A89" s="50"/>
      <c r="B89" s="312"/>
      <c r="C89" s="47"/>
      <c r="D89" s="51"/>
      <c r="E89" s="51"/>
      <c r="F89" s="37"/>
      <c r="G89" s="37"/>
      <c r="H89" s="37"/>
      <c r="I89" s="37"/>
      <c r="J89" s="37"/>
      <c r="K89" s="37"/>
      <c r="L89" s="37"/>
      <c r="M89" s="37"/>
      <c r="N89" s="37"/>
      <c r="O89" s="43"/>
      <c r="P89" s="301"/>
      <c r="R89" s="38"/>
    </row>
    <row r="90" spans="1:18" ht="15.75" x14ac:dyDescent="0.25">
      <c r="A90" s="50"/>
      <c r="B90" s="312"/>
      <c r="C90" s="47"/>
      <c r="D90" s="51"/>
      <c r="E90" s="51"/>
      <c r="F90" s="37"/>
      <c r="G90" s="37"/>
      <c r="H90" s="37"/>
      <c r="I90" s="37"/>
      <c r="J90" s="37"/>
      <c r="K90" s="37"/>
      <c r="L90" s="37"/>
      <c r="M90" s="37"/>
      <c r="N90" s="37"/>
      <c r="O90" s="43"/>
      <c r="P90" s="301"/>
      <c r="Q90" s="39"/>
      <c r="R90" s="38"/>
    </row>
    <row r="91" spans="1:18" ht="15.75" x14ac:dyDescent="0.25">
      <c r="A91" s="489" t="s">
        <v>220</v>
      </c>
      <c r="B91" s="489"/>
      <c r="C91" s="489"/>
      <c r="D91" s="489"/>
      <c r="E91" s="52">
        <f>SUM(E85:E90)</f>
        <v>9.7049999999999997E-2</v>
      </c>
      <c r="F91" s="37"/>
      <c r="G91" s="37"/>
      <c r="H91" s="489" t="s">
        <v>220</v>
      </c>
      <c r="I91" s="489"/>
      <c r="J91" s="53">
        <f>+J85</f>
        <v>0.67087788877149179</v>
      </c>
      <c r="K91" s="37"/>
      <c r="L91" s="37"/>
      <c r="M91" s="37"/>
      <c r="N91" s="37">
        <f>+N85</f>
        <v>0.51647714811681811</v>
      </c>
      <c r="O91" s="490"/>
      <c r="P91" s="491"/>
      <c r="Q91" s="367"/>
      <c r="R91" s="357"/>
    </row>
    <row r="92" spans="1:18" ht="15.75" x14ac:dyDescent="0.25">
      <c r="A92" s="302"/>
      <c r="B92" s="302"/>
      <c r="C92" s="302"/>
      <c r="D92" s="302"/>
      <c r="E92" s="71"/>
      <c r="F92" s="297"/>
      <c r="G92" s="297"/>
      <c r="H92" s="302"/>
      <c r="I92" s="302"/>
      <c r="J92" s="72"/>
      <c r="K92" s="297"/>
      <c r="L92" s="297"/>
      <c r="M92" s="297"/>
      <c r="N92" s="297"/>
      <c r="O92" s="298"/>
      <c r="P92" s="298"/>
      <c r="Q92" s="297"/>
      <c r="R92" s="297"/>
    </row>
    <row r="93" spans="1:18" ht="15.75" x14ac:dyDescent="0.25">
      <c r="A93" s="302"/>
      <c r="B93" s="302"/>
      <c r="C93" s="302"/>
      <c r="D93" s="302"/>
      <c r="E93" s="71"/>
      <c r="F93" s="297"/>
      <c r="G93" s="297"/>
      <c r="H93" s="302"/>
      <c r="I93" s="302"/>
      <c r="J93" s="72"/>
      <c r="K93" s="297"/>
      <c r="L93" s="297"/>
      <c r="M93" s="297"/>
      <c r="N93" s="297"/>
      <c r="O93" s="298"/>
      <c r="P93" s="298"/>
      <c r="Q93" s="297"/>
      <c r="R93" s="297"/>
    </row>
    <row r="95" spans="1:18" ht="15.75" x14ac:dyDescent="0.25">
      <c r="A95" s="506" t="s">
        <v>208</v>
      </c>
      <c r="B95" s="507"/>
      <c r="C95" s="507"/>
      <c r="D95" s="507"/>
      <c r="E95" s="507"/>
      <c r="F95" s="507"/>
      <c r="G95" s="507"/>
      <c r="H95" s="507"/>
      <c r="I95" s="507"/>
      <c r="J95" s="507"/>
      <c r="K95" s="507"/>
      <c r="L95" s="507"/>
      <c r="M95" s="507"/>
      <c r="N95" s="507"/>
      <c r="O95" s="507"/>
      <c r="P95" s="507"/>
      <c r="Q95" s="507"/>
      <c r="R95" s="508"/>
    </row>
    <row r="96" spans="1:18" ht="15.75" x14ac:dyDescent="0.25">
      <c r="A96" s="299" t="s">
        <v>209</v>
      </c>
      <c r="B96" s="297"/>
      <c r="C96" s="39"/>
      <c r="D96" s="55"/>
      <c r="E96" s="39"/>
      <c r="F96" s="39"/>
      <c r="G96" s="39"/>
      <c r="H96" s="494"/>
      <c r="I96" s="494"/>
      <c r="J96" s="494"/>
      <c r="K96" s="39"/>
      <c r="L96" s="39"/>
      <c r="M96" s="39"/>
      <c r="N96" s="39"/>
      <c r="O96" s="39"/>
      <c r="P96" s="39"/>
      <c r="Q96" s="39"/>
      <c r="R96" s="42"/>
    </row>
    <row r="97" spans="1:18" ht="15.75" x14ac:dyDescent="0.25">
      <c r="A97" s="299" t="s">
        <v>228</v>
      </c>
      <c r="B97" s="369" t="s">
        <v>529</v>
      </c>
      <c r="C97" s="369"/>
      <c r="D97" s="55"/>
      <c r="E97" s="39"/>
      <c r="F97" s="39"/>
      <c r="G97" s="39"/>
      <c r="H97" s="494"/>
      <c r="I97" s="494"/>
      <c r="J97" s="494"/>
      <c r="K97" s="39"/>
      <c r="L97" s="39"/>
      <c r="M97" s="39"/>
      <c r="N97" s="39"/>
      <c r="O97" s="39"/>
      <c r="P97" s="39"/>
      <c r="Q97" s="39"/>
      <c r="R97" s="42"/>
    </row>
    <row r="98" spans="1:18" ht="15.75" x14ac:dyDescent="0.25">
      <c r="A98" s="492" t="s">
        <v>210</v>
      </c>
      <c r="B98" s="493"/>
      <c r="C98" s="297"/>
      <c r="D98" s="56"/>
      <c r="E98" s="39"/>
      <c r="F98" s="39"/>
      <c r="G98" s="39"/>
      <c r="H98" s="494"/>
      <c r="I98" s="494"/>
      <c r="J98" s="494"/>
      <c r="K98" s="39"/>
      <c r="L98" s="39"/>
      <c r="M98" s="39"/>
      <c r="N98" s="39"/>
      <c r="O98" s="39"/>
      <c r="P98" s="39"/>
      <c r="Q98" s="39"/>
      <c r="R98" s="42"/>
    </row>
    <row r="99" spans="1:18" ht="15.75" x14ac:dyDescent="0.25">
      <c r="A99" s="495" t="s">
        <v>211</v>
      </c>
      <c r="B99" s="494"/>
      <c r="C99" s="494"/>
      <c r="D99" s="55"/>
      <c r="E99" s="39"/>
      <c r="F99" s="39"/>
      <c r="G99" s="39"/>
      <c r="H99" s="494"/>
      <c r="I99" s="494"/>
      <c r="J99" s="494"/>
      <c r="K99" s="39"/>
      <c r="L99" s="39"/>
      <c r="M99" s="39"/>
      <c r="N99" s="39"/>
      <c r="O99" s="39"/>
      <c r="P99" s="39"/>
      <c r="Q99" s="39"/>
      <c r="R99" s="42"/>
    </row>
    <row r="100" spans="1:18" ht="15.75" x14ac:dyDescent="0.25">
      <c r="A100" s="496" t="s">
        <v>212</v>
      </c>
      <c r="B100" s="496"/>
      <c r="C100" s="496"/>
      <c r="D100" s="496"/>
      <c r="E100" s="496"/>
      <c r="F100" s="496" t="s">
        <v>213</v>
      </c>
      <c r="G100" s="496"/>
      <c r="H100" s="496"/>
      <c r="I100" s="496"/>
      <c r="J100" s="496"/>
      <c r="K100" s="497" t="s">
        <v>221</v>
      </c>
      <c r="L100" s="497"/>
      <c r="M100" s="497"/>
      <c r="N100" s="497"/>
      <c r="O100" s="496" t="s">
        <v>222</v>
      </c>
      <c r="P100" s="496"/>
      <c r="Q100" s="496"/>
      <c r="R100" s="496"/>
    </row>
    <row r="101" spans="1:18" ht="31.5" x14ac:dyDescent="0.25">
      <c r="A101" s="300" t="s">
        <v>0</v>
      </c>
      <c r="B101" s="300" t="s">
        <v>1</v>
      </c>
      <c r="C101" s="300" t="s">
        <v>214</v>
      </c>
      <c r="D101" s="57" t="s">
        <v>215</v>
      </c>
      <c r="E101" s="49" t="s">
        <v>216</v>
      </c>
      <c r="F101" s="300" t="s">
        <v>0</v>
      </c>
      <c r="G101" s="49" t="s">
        <v>217</v>
      </c>
      <c r="H101" s="300" t="s">
        <v>218</v>
      </c>
      <c r="I101" s="49" t="s">
        <v>219</v>
      </c>
      <c r="J101" s="49" t="s">
        <v>216</v>
      </c>
      <c r="K101" s="300" t="s">
        <v>0</v>
      </c>
      <c r="L101" s="49" t="s">
        <v>321</v>
      </c>
      <c r="M101" s="49" t="s">
        <v>224</v>
      </c>
      <c r="N101" s="49" t="s">
        <v>216</v>
      </c>
      <c r="O101" s="496"/>
      <c r="P101" s="496"/>
      <c r="Q101" s="496"/>
      <c r="R101" s="496"/>
    </row>
    <row r="102" spans="1:18" ht="15.75" x14ac:dyDescent="0.25">
      <c r="A102" s="50"/>
      <c r="B102" s="14" t="s">
        <v>173</v>
      </c>
      <c r="C102" s="396">
        <v>3</v>
      </c>
      <c r="D102" s="51">
        <f>+'kardex reactivos 3'!G189</f>
        <v>2.2499999999999999E-2</v>
      </c>
      <c r="E102" s="51">
        <f>+C102*D102</f>
        <v>6.7500000000000004E-2</v>
      </c>
      <c r="F102" s="37"/>
      <c r="G102" s="37"/>
      <c r="H102" s="37">
        <f>+'Minutos MOD por exmen '!C8</f>
        <v>0.15</v>
      </c>
      <c r="I102" s="100">
        <f>+'tasa MOD '!I37</f>
        <v>4.4725192584766118</v>
      </c>
      <c r="J102" s="37">
        <f>+I102*H102</f>
        <v>0.67087788877149179</v>
      </c>
      <c r="K102" s="37"/>
      <c r="L102" s="37">
        <f>+J108</f>
        <v>0.67087788877149179</v>
      </c>
      <c r="M102" s="109">
        <f>+'tasa cif'!G9</f>
        <v>0.76985269116945931</v>
      </c>
      <c r="N102" s="37">
        <f>+L102*M102</f>
        <v>0.51647714811681811</v>
      </c>
      <c r="O102" s="505" t="s">
        <v>225</v>
      </c>
      <c r="P102" s="505"/>
      <c r="Q102" s="35">
        <f>+E108</f>
        <v>0.14493</v>
      </c>
      <c r="R102" s="38"/>
    </row>
    <row r="103" spans="1:18" ht="15.75" x14ac:dyDescent="0.25">
      <c r="A103" s="50"/>
      <c r="B103" s="14" t="s">
        <v>174</v>
      </c>
      <c r="C103" s="396">
        <v>1</v>
      </c>
      <c r="D103" s="51">
        <f>+'kardex reactivos 3'!G206</f>
        <v>2.955E-2</v>
      </c>
      <c r="E103" s="51">
        <f>+C103*D103</f>
        <v>2.955E-2</v>
      </c>
      <c r="F103" s="37"/>
      <c r="G103" s="37"/>
      <c r="H103" s="37"/>
      <c r="I103" s="37"/>
      <c r="J103" s="37"/>
      <c r="K103" s="37"/>
      <c r="L103" s="37"/>
      <c r="M103" s="37"/>
      <c r="N103" s="37"/>
      <c r="O103" s="505" t="s">
        <v>226</v>
      </c>
      <c r="P103" s="505"/>
      <c r="Q103">
        <f>+J108</f>
        <v>0.67087788877149179</v>
      </c>
      <c r="R103" s="38"/>
    </row>
    <row r="104" spans="1:18" ht="15.75" x14ac:dyDescent="0.25">
      <c r="A104" s="50"/>
      <c r="B104" s="14" t="s">
        <v>175</v>
      </c>
      <c r="C104" s="396">
        <v>1.5</v>
      </c>
      <c r="D104" s="51">
        <f>+'kardex reactivos 3'!G225</f>
        <v>3.1920000000000004E-2</v>
      </c>
      <c r="E104" s="51">
        <f>+C104*D104</f>
        <v>4.7880000000000006E-2</v>
      </c>
      <c r="F104" s="37"/>
      <c r="G104" s="37"/>
      <c r="H104" s="37"/>
      <c r="I104" s="37"/>
      <c r="J104" s="37"/>
      <c r="K104" s="37"/>
      <c r="L104" s="37"/>
      <c r="M104" s="37"/>
      <c r="N104" s="37"/>
      <c r="O104" s="43" t="s">
        <v>227</v>
      </c>
      <c r="P104" s="301"/>
      <c r="Q104">
        <f>+N108</f>
        <v>0.51647714811681811</v>
      </c>
      <c r="R104" s="38"/>
    </row>
    <row r="105" spans="1:18" ht="16.5" thickBot="1" x14ac:dyDescent="0.3">
      <c r="A105" s="50"/>
      <c r="B105" s="312"/>
      <c r="C105" s="47"/>
      <c r="D105" s="51"/>
      <c r="E105" s="323"/>
      <c r="F105" s="37"/>
      <c r="G105" s="37"/>
      <c r="H105" s="37"/>
      <c r="I105" s="37"/>
      <c r="J105" s="37"/>
      <c r="K105" s="37"/>
      <c r="L105" s="37"/>
      <c r="M105" s="37"/>
      <c r="N105" s="37"/>
      <c r="O105" s="43"/>
      <c r="P105" s="301"/>
      <c r="Q105" s="356">
        <f>SUM(Q102:Q104)</f>
        <v>1.3322850368883099</v>
      </c>
      <c r="R105" s="38"/>
    </row>
    <row r="106" spans="1:18" ht="16.5" thickTop="1" x14ac:dyDescent="0.25">
      <c r="A106" s="50"/>
      <c r="B106" s="312"/>
      <c r="C106" s="47"/>
      <c r="D106" s="51"/>
      <c r="E106" s="51"/>
      <c r="F106" s="37"/>
      <c r="G106" s="37"/>
      <c r="H106" s="37"/>
      <c r="I106" s="37"/>
      <c r="J106" s="37"/>
      <c r="K106" s="37"/>
      <c r="L106" s="37"/>
      <c r="M106" s="37"/>
      <c r="N106" s="37"/>
      <c r="O106" s="43"/>
      <c r="P106" s="301"/>
      <c r="R106" s="38"/>
    </row>
    <row r="107" spans="1:18" ht="15.75" x14ac:dyDescent="0.25">
      <c r="A107" s="50"/>
      <c r="B107" s="312"/>
      <c r="C107" s="47"/>
      <c r="D107" s="51"/>
      <c r="E107" s="51"/>
      <c r="F107" s="37"/>
      <c r="G107" s="37"/>
      <c r="H107" s="37"/>
      <c r="I107" s="37"/>
      <c r="J107" s="37"/>
      <c r="K107" s="37"/>
      <c r="L107" s="37"/>
      <c r="M107" s="37"/>
      <c r="N107" s="37"/>
      <c r="O107" s="43"/>
      <c r="P107" s="301"/>
      <c r="Q107" s="39"/>
      <c r="R107" s="38"/>
    </row>
    <row r="108" spans="1:18" ht="15.75" x14ac:dyDescent="0.25">
      <c r="A108" s="489" t="s">
        <v>220</v>
      </c>
      <c r="B108" s="489"/>
      <c r="C108" s="489"/>
      <c r="D108" s="489"/>
      <c r="E108" s="52">
        <f>SUM(E102:E107)</f>
        <v>0.14493</v>
      </c>
      <c r="F108" s="37"/>
      <c r="G108" s="37"/>
      <c r="H108" s="489" t="s">
        <v>220</v>
      </c>
      <c r="I108" s="489"/>
      <c r="J108" s="53">
        <f>+J102</f>
        <v>0.67087788877149179</v>
      </c>
      <c r="K108" s="37"/>
      <c r="L108" s="37"/>
      <c r="M108" s="37"/>
      <c r="N108" s="37">
        <f>+N102</f>
        <v>0.51647714811681811</v>
      </c>
      <c r="O108" s="490"/>
      <c r="P108" s="491"/>
      <c r="Q108" s="367"/>
      <c r="R108" s="357"/>
    </row>
    <row r="111" spans="1:18" ht="15.75" x14ac:dyDescent="0.25">
      <c r="A111" s="506" t="s">
        <v>208</v>
      </c>
      <c r="B111" s="507"/>
      <c r="C111" s="507"/>
      <c r="D111" s="507"/>
      <c r="E111" s="507"/>
      <c r="F111" s="507"/>
      <c r="G111" s="507"/>
      <c r="H111" s="507"/>
      <c r="I111" s="507"/>
      <c r="J111" s="507"/>
      <c r="K111" s="507"/>
      <c r="L111" s="507"/>
      <c r="M111" s="507"/>
      <c r="N111" s="507"/>
      <c r="O111" s="507"/>
      <c r="P111" s="507"/>
      <c r="Q111" s="507"/>
      <c r="R111" s="508"/>
    </row>
    <row r="112" spans="1:18" ht="15.75" x14ac:dyDescent="0.25">
      <c r="A112" s="299" t="s">
        <v>209</v>
      </c>
      <c r="B112" s="297"/>
      <c r="C112" s="39"/>
      <c r="D112" s="55"/>
      <c r="E112" s="39"/>
      <c r="F112" s="39"/>
      <c r="G112" s="39"/>
      <c r="H112" s="494"/>
      <c r="I112" s="494"/>
      <c r="J112" s="494"/>
      <c r="K112" s="39"/>
      <c r="L112" s="39"/>
      <c r="M112" s="39"/>
      <c r="N112" s="39"/>
      <c r="O112" s="39"/>
      <c r="P112" s="39"/>
      <c r="Q112" s="39"/>
      <c r="R112" s="42"/>
    </row>
    <row r="113" spans="1:18" ht="15.75" x14ac:dyDescent="0.25">
      <c r="A113" s="299" t="s">
        <v>228</v>
      </c>
      <c r="B113" s="493" t="s">
        <v>530</v>
      </c>
      <c r="C113" s="493"/>
      <c r="D113" s="55"/>
      <c r="E113" s="39"/>
      <c r="F113" s="39"/>
      <c r="G113" s="39"/>
      <c r="H113" s="494"/>
      <c r="I113" s="494"/>
      <c r="J113" s="494"/>
      <c r="K113" s="39"/>
      <c r="L113" s="39"/>
      <c r="M113" s="39"/>
      <c r="N113" s="39"/>
      <c r="O113" s="39"/>
      <c r="P113" s="39"/>
      <c r="Q113" s="39"/>
      <c r="R113" s="42"/>
    </row>
    <row r="114" spans="1:18" ht="15.75" x14ac:dyDescent="0.25">
      <c r="A114" s="492" t="s">
        <v>210</v>
      </c>
      <c r="B114" s="493"/>
      <c r="C114" s="297"/>
      <c r="D114" s="56"/>
      <c r="E114" s="39"/>
      <c r="F114" s="39"/>
      <c r="G114" s="39"/>
      <c r="H114" s="494"/>
      <c r="I114" s="494"/>
      <c r="J114" s="494"/>
      <c r="K114" s="39"/>
      <c r="L114" s="39"/>
      <c r="M114" s="39"/>
      <c r="N114" s="39"/>
      <c r="O114" s="39"/>
      <c r="P114" s="39"/>
      <c r="Q114" s="39"/>
      <c r="R114" s="42"/>
    </row>
    <row r="115" spans="1:18" ht="15.75" x14ac:dyDescent="0.25">
      <c r="A115" s="495" t="s">
        <v>211</v>
      </c>
      <c r="B115" s="494"/>
      <c r="C115" s="494"/>
      <c r="D115" s="55"/>
      <c r="E115" s="39"/>
      <c r="F115" s="39"/>
      <c r="G115" s="39"/>
      <c r="H115" s="494"/>
      <c r="I115" s="494"/>
      <c r="J115" s="494"/>
      <c r="K115" s="39"/>
      <c r="L115" s="39"/>
      <c r="M115" s="39"/>
      <c r="N115" s="39"/>
      <c r="O115" s="39"/>
      <c r="P115" s="39"/>
      <c r="Q115" s="39"/>
      <c r="R115" s="42"/>
    </row>
    <row r="116" spans="1:18" ht="15.75" x14ac:dyDescent="0.25">
      <c r="A116" s="496" t="s">
        <v>212</v>
      </c>
      <c r="B116" s="496"/>
      <c r="C116" s="496"/>
      <c r="D116" s="496"/>
      <c r="E116" s="496"/>
      <c r="F116" s="496" t="s">
        <v>213</v>
      </c>
      <c r="G116" s="496"/>
      <c r="H116" s="496"/>
      <c r="I116" s="496"/>
      <c r="J116" s="496"/>
      <c r="K116" s="497" t="s">
        <v>221</v>
      </c>
      <c r="L116" s="497"/>
      <c r="M116" s="497"/>
      <c r="N116" s="497"/>
      <c r="O116" s="496" t="s">
        <v>222</v>
      </c>
      <c r="P116" s="496"/>
      <c r="Q116" s="496"/>
      <c r="R116" s="496"/>
    </row>
    <row r="117" spans="1:18" ht="31.5" x14ac:dyDescent="0.25">
      <c r="A117" s="300" t="s">
        <v>0</v>
      </c>
      <c r="B117" s="300" t="s">
        <v>1</v>
      </c>
      <c r="C117" s="300" t="s">
        <v>214</v>
      </c>
      <c r="D117" s="57" t="s">
        <v>215</v>
      </c>
      <c r="E117" s="49" t="s">
        <v>216</v>
      </c>
      <c r="F117" s="300" t="s">
        <v>0</v>
      </c>
      <c r="G117" s="49" t="s">
        <v>217</v>
      </c>
      <c r="H117" s="300" t="s">
        <v>218</v>
      </c>
      <c r="I117" s="49" t="s">
        <v>219</v>
      </c>
      <c r="J117" s="49" t="s">
        <v>216</v>
      </c>
      <c r="K117" s="300" t="s">
        <v>0</v>
      </c>
      <c r="L117" s="49" t="s">
        <v>321</v>
      </c>
      <c r="M117" s="49" t="s">
        <v>224</v>
      </c>
      <c r="N117" s="49" t="s">
        <v>216</v>
      </c>
      <c r="O117" s="496"/>
      <c r="P117" s="496"/>
      <c r="Q117" s="496"/>
      <c r="R117" s="496"/>
    </row>
    <row r="118" spans="1:18" ht="15.75" x14ac:dyDescent="0.25">
      <c r="A118" s="50"/>
      <c r="B118" s="154" t="s">
        <v>86</v>
      </c>
      <c r="C118" s="328">
        <v>0.5</v>
      </c>
      <c r="D118" s="51">
        <f>+'kardex reactivos 1'!G160</f>
        <v>4.1119999999999997E-2</v>
      </c>
      <c r="E118" s="51">
        <f>+C118*D118</f>
        <v>2.0559999999999998E-2</v>
      </c>
      <c r="F118" s="37"/>
      <c r="G118" s="37"/>
      <c r="H118" s="37">
        <f>+'Minutos MOD por exmen '!C9</f>
        <v>0.18333333333333332</v>
      </c>
      <c r="I118" s="100">
        <f>+'tasa MOD '!I37</f>
        <v>4.4725192584766118</v>
      </c>
      <c r="J118" s="37">
        <f>+I118*H118</f>
        <v>0.81996186405404548</v>
      </c>
      <c r="K118" s="37"/>
      <c r="L118" s="37">
        <f>+J125</f>
        <v>0.81996186405404548</v>
      </c>
      <c r="M118" s="109">
        <f>+'tasa cif'!G9</f>
        <v>0.76985269116945931</v>
      </c>
      <c r="N118" s="37">
        <f>+L118*M118</f>
        <v>0.63124984769833326</v>
      </c>
      <c r="O118" s="505" t="s">
        <v>225</v>
      </c>
      <c r="P118" s="505"/>
      <c r="Q118" s="35">
        <f>+E125</f>
        <v>0.50085333333333337</v>
      </c>
      <c r="R118" s="38"/>
    </row>
    <row r="119" spans="1:18" ht="15.75" x14ac:dyDescent="0.25">
      <c r="A119" s="50"/>
      <c r="B119" s="303" t="s">
        <v>159</v>
      </c>
      <c r="C119" s="328">
        <v>1.5</v>
      </c>
      <c r="D119" s="51">
        <f>+'kardex reactivos 3'!G25</f>
        <v>4.4999999999999998E-2</v>
      </c>
      <c r="E119" s="51">
        <f>+C119*D119</f>
        <v>6.7500000000000004E-2</v>
      </c>
      <c r="F119" s="37"/>
      <c r="G119" s="37"/>
      <c r="H119" s="37"/>
      <c r="I119" s="37"/>
      <c r="J119" s="37"/>
      <c r="K119" s="37"/>
      <c r="L119" s="37"/>
      <c r="M119" s="37"/>
      <c r="N119" s="37"/>
      <c r="O119" s="505" t="s">
        <v>226</v>
      </c>
      <c r="P119" s="505"/>
      <c r="Q119">
        <f>+J125</f>
        <v>0.81996186405404548</v>
      </c>
      <c r="R119" s="38"/>
    </row>
    <row r="120" spans="1:18" ht="15.75" x14ac:dyDescent="0.25">
      <c r="A120" s="50"/>
      <c r="B120" s="154" t="s">
        <v>229</v>
      </c>
      <c r="C120" s="328">
        <v>1</v>
      </c>
      <c r="D120" s="51">
        <f>+'kardex reactivos 1'!G195</f>
        <v>6.8000000000000005E-2</v>
      </c>
      <c r="E120" s="51">
        <f>+C120*D120</f>
        <v>6.8000000000000005E-2</v>
      </c>
      <c r="F120" s="37"/>
      <c r="G120" s="37"/>
      <c r="H120" s="37"/>
      <c r="I120" s="37"/>
      <c r="J120" s="37"/>
      <c r="K120" s="37"/>
      <c r="L120" s="37"/>
      <c r="M120" s="37"/>
      <c r="N120" s="37"/>
      <c r="O120" s="43" t="s">
        <v>227</v>
      </c>
      <c r="P120" s="301"/>
      <c r="Q120">
        <f>+N125</f>
        <v>0.63124984769833326</v>
      </c>
      <c r="R120" s="38"/>
    </row>
    <row r="121" spans="1:18" ht="16.5" thickBot="1" x14ac:dyDescent="0.3">
      <c r="A121" s="50"/>
      <c r="B121" s="303" t="s">
        <v>230</v>
      </c>
      <c r="C121" s="328">
        <v>1</v>
      </c>
      <c r="D121" s="51">
        <f>+'kardex reactivos 1'!G218</f>
        <v>6.8000000000000005E-2</v>
      </c>
      <c r="E121" s="51">
        <f t="shared" ref="E121:E124" si="3">+C121*D121</f>
        <v>6.8000000000000005E-2</v>
      </c>
      <c r="F121" s="37"/>
      <c r="G121" s="37"/>
      <c r="H121" s="37"/>
      <c r="I121" s="37"/>
      <c r="J121" s="37"/>
      <c r="K121" s="37"/>
      <c r="L121" s="37"/>
      <c r="M121" s="37"/>
      <c r="N121" s="37"/>
      <c r="O121" s="43"/>
      <c r="P121" s="301"/>
      <c r="Q121" s="356">
        <f>SUM(Q118:Q120)</f>
        <v>1.9520650450857122</v>
      </c>
      <c r="R121" s="38"/>
    </row>
    <row r="122" spans="1:18" ht="16.5" thickTop="1" x14ac:dyDescent="0.25">
      <c r="A122" s="50"/>
      <c r="B122" s="154" t="s">
        <v>163</v>
      </c>
      <c r="C122" s="328">
        <v>3</v>
      </c>
      <c r="D122" s="51">
        <f>+'kardex reactivos 3'!G64</f>
        <v>4.8600000000000004E-2</v>
      </c>
      <c r="E122" s="51">
        <f t="shared" si="3"/>
        <v>0.14580000000000001</v>
      </c>
      <c r="F122" s="37"/>
      <c r="G122" s="37"/>
      <c r="H122" s="37"/>
      <c r="I122" s="37"/>
      <c r="J122" s="37"/>
      <c r="K122" s="37"/>
      <c r="L122" s="37"/>
      <c r="M122" s="37"/>
      <c r="N122" s="37"/>
      <c r="O122" s="43"/>
      <c r="P122" s="301"/>
      <c r="R122" s="38"/>
    </row>
    <row r="123" spans="1:18" ht="15.75" x14ac:dyDescent="0.25">
      <c r="A123" s="50"/>
      <c r="B123" s="304" t="s">
        <v>164</v>
      </c>
      <c r="C123" s="329">
        <v>3</v>
      </c>
      <c r="D123" s="51">
        <f>+'kardex reactivos 3'!G76</f>
        <v>3.6639999999999999E-2</v>
      </c>
      <c r="E123" s="51">
        <f t="shared" si="3"/>
        <v>0.10991999999999999</v>
      </c>
      <c r="F123" s="37"/>
      <c r="G123" s="37"/>
      <c r="H123" s="37"/>
      <c r="I123" s="37"/>
      <c r="J123" s="37"/>
      <c r="K123" s="37"/>
      <c r="L123" s="37"/>
      <c r="M123" s="37"/>
      <c r="N123" s="37"/>
      <c r="O123" s="43"/>
      <c r="P123" s="308"/>
      <c r="R123" s="38"/>
    </row>
    <row r="124" spans="1:18" ht="15.75" x14ac:dyDescent="0.25">
      <c r="A124" s="50"/>
      <c r="B124" s="154" t="s">
        <v>93</v>
      </c>
      <c r="C124" s="328">
        <v>0.5</v>
      </c>
      <c r="D124" s="51">
        <f>+'kardex reactivos 1'!G273</f>
        <v>4.2146666666666666E-2</v>
      </c>
      <c r="E124" s="51">
        <f t="shared" si="3"/>
        <v>2.1073333333333333E-2</v>
      </c>
      <c r="F124" s="37"/>
      <c r="G124" s="37"/>
      <c r="H124" s="37"/>
      <c r="I124" s="37"/>
      <c r="J124" s="37"/>
      <c r="K124" s="37"/>
      <c r="L124" s="37"/>
      <c r="M124" s="37"/>
      <c r="N124" s="37"/>
      <c r="O124" s="43"/>
      <c r="P124" s="308"/>
      <c r="R124" s="38"/>
    </row>
    <row r="125" spans="1:18" ht="15.75" x14ac:dyDescent="0.25">
      <c r="A125" s="489" t="s">
        <v>220</v>
      </c>
      <c r="B125" s="489"/>
      <c r="C125" s="489"/>
      <c r="D125" s="489"/>
      <c r="E125" s="52">
        <f>SUM(E118:E124)</f>
        <v>0.50085333333333337</v>
      </c>
      <c r="F125" s="37"/>
      <c r="G125" s="37"/>
      <c r="H125" s="489" t="s">
        <v>220</v>
      </c>
      <c r="I125" s="489"/>
      <c r="J125" s="53">
        <f>+J118</f>
        <v>0.81996186405404548</v>
      </c>
      <c r="K125" s="37"/>
      <c r="L125" s="37"/>
      <c r="M125" s="37"/>
      <c r="N125" s="37">
        <f>+N118</f>
        <v>0.63124984769833326</v>
      </c>
      <c r="O125" s="490"/>
      <c r="P125" s="491"/>
      <c r="Q125" s="367"/>
      <c r="R125" s="357"/>
    </row>
    <row r="130" spans="1:18" ht="15.75" x14ac:dyDescent="0.25">
      <c r="A130" s="506" t="s">
        <v>208</v>
      </c>
      <c r="B130" s="507"/>
      <c r="C130" s="507"/>
      <c r="D130" s="507"/>
      <c r="E130" s="507"/>
      <c r="F130" s="507"/>
      <c r="G130" s="507"/>
      <c r="H130" s="507"/>
      <c r="I130" s="507"/>
      <c r="J130" s="507"/>
      <c r="K130" s="507"/>
      <c r="L130" s="507"/>
      <c r="M130" s="507"/>
      <c r="N130" s="507"/>
      <c r="O130" s="507"/>
      <c r="P130" s="507"/>
      <c r="Q130" s="507"/>
      <c r="R130" s="508"/>
    </row>
    <row r="131" spans="1:18" ht="15.75" x14ac:dyDescent="0.25">
      <c r="A131" s="326" t="s">
        <v>209</v>
      </c>
      <c r="B131" s="325"/>
      <c r="C131" s="39"/>
      <c r="D131" s="55"/>
      <c r="E131" s="39"/>
      <c r="F131" s="39"/>
      <c r="G131" s="39"/>
      <c r="H131" s="494"/>
      <c r="I131" s="494"/>
      <c r="J131" s="494"/>
      <c r="K131" s="39"/>
      <c r="L131" s="39"/>
      <c r="M131" s="39"/>
      <c r="N131" s="39"/>
      <c r="O131" s="39"/>
      <c r="P131" s="39"/>
      <c r="Q131" s="39"/>
      <c r="R131" s="42"/>
    </row>
    <row r="132" spans="1:18" ht="15.75" x14ac:dyDescent="0.25">
      <c r="A132" s="326" t="s">
        <v>228</v>
      </c>
      <c r="B132" s="493" t="s">
        <v>534</v>
      </c>
      <c r="C132" s="493"/>
      <c r="D132" s="55"/>
      <c r="E132" s="39"/>
      <c r="F132" s="39"/>
      <c r="G132" s="39"/>
      <c r="H132" s="494"/>
      <c r="I132" s="494"/>
      <c r="J132" s="494"/>
      <c r="K132" s="39"/>
      <c r="L132" s="39"/>
      <c r="M132" s="39"/>
      <c r="N132" s="39"/>
      <c r="O132" s="39"/>
      <c r="P132" s="39"/>
      <c r="Q132" s="39"/>
      <c r="R132" s="42"/>
    </row>
    <row r="133" spans="1:18" ht="15.75" x14ac:dyDescent="0.25">
      <c r="A133" s="492" t="s">
        <v>210</v>
      </c>
      <c r="B133" s="493"/>
      <c r="C133" s="325"/>
      <c r="D133" s="56"/>
      <c r="E133" s="39"/>
      <c r="F133" s="39"/>
      <c r="G133" s="39"/>
      <c r="H133" s="494"/>
      <c r="I133" s="494"/>
      <c r="J133" s="494"/>
      <c r="K133" s="39"/>
      <c r="L133" s="39"/>
      <c r="M133" s="39"/>
      <c r="N133" s="39"/>
      <c r="O133" s="39"/>
      <c r="P133" s="39"/>
      <c r="Q133" s="39"/>
      <c r="R133" s="42"/>
    </row>
    <row r="134" spans="1:18" ht="15.75" x14ac:dyDescent="0.25">
      <c r="A134" s="495" t="s">
        <v>211</v>
      </c>
      <c r="B134" s="494"/>
      <c r="C134" s="494"/>
      <c r="D134" s="55"/>
      <c r="E134" s="39"/>
      <c r="F134" s="39"/>
      <c r="G134" s="39"/>
      <c r="H134" s="494"/>
      <c r="I134" s="494"/>
      <c r="J134" s="494"/>
      <c r="K134" s="39"/>
      <c r="L134" s="39"/>
      <c r="M134" s="39"/>
      <c r="N134" s="39"/>
      <c r="O134" s="39"/>
      <c r="P134" s="39"/>
      <c r="Q134" s="39"/>
      <c r="R134" s="42"/>
    </row>
    <row r="135" spans="1:18" ht="15.75" x14ac:dyDescent="0.25">
      <c r="A135" s="496" t="s">
        <v>212</v>
      </c>
      <c r="B135" s="496"/>
      <c r="C135" s="496"/>
      <c r="D135" s="496"/>
      <c r="E135" s="496"/>
      <c r="F135" s="496" t="s">
        <v>213</v>
      </c>
      <c r="G135" s="496"/>
      <c r="H135" s="496"/>
      <c r="I135" s="496"/>
      <c r="J135" s="496"/>
      <c r="K135" s="497" t="s">
        <v>221</v>
      </c>
      <c r="L135" s="497"/>
      <c r="M135" s="497"/>
      <c r="N135" s="497"/>
      <c r="O135" s="496" t="s">
        <v>222</v>
      </c>
      <c r="P135" s="496"/>
      <c r="Q135" s="496"/>
      <c r="R135" s="496"/>
    </row>
    <row r="136" spans="1:18" ht="31.5" x14ac:dyDescent="0.25">
      <c r="A136" s="327" t="s">
        <v>0</v>
      </c>
      <c r="B136" s="327" t="s">
        <v>1</v>
      </c>
      <c r="C136" s="327" t="s">
        <v>214</v>
      </c>
      <c r="D136" s="57" t="s">
        <v>215</v>
      </c>
      <c r="E136" s="49" t="s">
        <v>216</v>
      </c>
      <c r="F136" s="327" t="s">
        <v>0</v>
      </c>
      <c r="G136" s="49" t="s">
        <v>217</v>
      </c>
      <c r="H136" s="327" t="s">
        <v>218</v>
      </c>
      <c r="I136" s="49" t="s">
        <v>219</v>
      </c>
      <c r="J136" s="49" t="s">
        <v>216</v>
      </c>
      <c r="K136" s="327" t="s">
        <v>0</v>
      </c>
      <c r="L136" s="49" t="s">
        <v>321</v>
      </c>
      <c r="M136" s="49" t="s">
        <v>224</v>
      </c>
      <c r="N136" s="49" t="s">
        <v>216</v>
      </c>
      <c r="O136" s="496"/>
      <c r="P136" s="496"/>
      <c r="Q136" s="496"/>
      <c r="R136" s="496"/>
    </row>
    <row r="137" spans="1:18" ht="31.5" x14ac:dyDescent="0.25">
      <c r="A137" s="50"/>
      <c r="B137" s="312" t="s">
        <v>171</v>
      </c>
      <c r="C137" s="396">
        <v>1</v>
      </c>
      <c r="D137" s="51">
        <f>+'kardex reactivos 3'!G159</f>
        <v>7.4999999999999997E-2</v>
      </c>
      <c r="E137" s="51">
        <f>+C137*D137</f>
        <v>7.4999999999999997E-2</v>
      </c>
      <c r="F137" s="37"/>
      <c r="G137" s="37"/>
      <c r="H137" s="37">
        <f>+'Minutos MOD por exmen '!C10</f>
        <v>0.1</v>
      </c>
      <c r="I137" s="100">
        <f>+'tasa MOD '!I37</f>
        <v>4.4725192584766118</v>
      </c>
      <c r="J137" s="37">
        <f>+I137*H137</f>
        <v>0.44725192584766121</v>
      </c>
      <c r="K137" s="37"/>
      <c r="L137" s="37">
        <f>+J141</f>
        <v>0.44725192584766121</v>
      </c>
      <c r="M137" s="428">
        <f>+'tasa cif'!G9</f>
        <v>0.76985269116945931</v>
      </c>
      <c r="N137" s="37">
        <f>+L137*M137</f>
        <v>0.34431809874454544</v>
      </c>
      <c r="O137" s="505" t="s">
        <v>225</v>
      </c>
      <c r="P137" s="505"/>
      <c r="Q137" s="35">
        <f>+E141</f>
        <v>0.20334270676691729</v>
      </c>
      <c r="R137" s="38"/>
    </row>
    <row r="138" spans="1:18" ht="15.75" x14ac:dyDescent="0.25">
      <c r="A138" s="50"/>
      <c r="B138" s="14" t="s">
        <v>519</v>
      </c>
      <c r="C138" s="396">
        <v>2.5</v>
      </c>
      <c r="D138" s="51">
        <f>+'kardex reactivos 1'!G79</f>
        <v>5.1337082706766915E-2</v>
      </c>
      <c r="E138" s="51">
        <f>+C138*D138</f>
        <v>0.12834270676691728</v>
      </c>
      <c r="F138" s="37"/>
      <c r="G138" s="37"/>
      <c r="H138" s="37"/>
      <c r="I138" s="37"/>
      <c r="J138" s="37"/>
      <c r="K138" s="37"/>
      <c r="L138" s="37"/>
      <c r="M138" s="37"/>
      <c r="N138" s="37"/>
      <c r="O138" s="505" t="s">
        <v>226</v>
      </c>
      <c r="P138" s="505"/>
      <c r="Q138">
        <f>+J141</f>
        <v>0.44725192584766121</v>
      </c>
      <c r="R138" s="38"/>
    </row>
    <row r="139" spans="1:18" ht="15.75" x14ac:dyDescent="0.25">
      <c r="A139" s="50"/>
      <c r="B139" s="154"/>
      <c r="C139" s="328"/>
      <c r="D139" s="51"/>
      <c r="E139" s="51">
        <f>+C139*D139</f>
        <v>0</v>
      </c>
      <c r="F139" s="37"/>
      <c r="G139" s="37"/>
      <c r="H139" s="37"/>
      <c r="I139" s="37"/>
      <c r="J139" s="37"/>
      <c r="K139" s="37"/>
      <c r="L139" s="37"/>
      <c r="M139" s="37"/>
      <c r="N139" s="37"/>
      <c r="O139" s="43" t="s">
        <v>227</v>
      </c>
      <c r="P139" s="324"/>
      <c r="Q139">
        <f>+N141</f>
        <v>0.34431809874454544</v>
      </c>
      <c r="R139" s="38"/>
    </row>
    <row r="140" spans="1:18" ht="16.5" thickBot="1" x14ac:dyDescent="0.3">
      <c r="A140" s="50"/>
      <c r="B140" s="303"/>
      <c r="C140" s="328"/>
      <c r="D140" s="51"/>
      <c r="E140" s="51">
        <f t="shared" ref="E140" si="4">+C140*D140</f>
        <v>0</v>
      </c>
      <c r="F140" s="37"/>
      <c r="G140" s="37"/>
      <c r="H140" s="37"/>
      <c r="I140" s="37"/>
      <c r="J140" s="37"/>
      <c r="K140" s="37"/>
      <c r="L140" s="37"/>
      <c r="M140" s="37"/>
      <c r="N140" s="37"/>
      <c r="O140" s="43"/>
      <c r="P140" s="324"/>
      <c r="Q140" s="356">
        <f>SUM(Q137:Q139)</f>
        <v>0.99491273135912395</v>
      </c>
      <c r="R140" s="38"/>
    </row>
    <row r="141" spans="1:18" ht="16.5" thickTop="1" x14ac:dyDescent="0.25">
      <c r="A141" s="489" t="s">
        <v>220</v>
      </c>
      <c r="B141" s="489"/>
      <c r="C141" s="489"/>
      <c r="D141" s="489"/>
      <c r="E141" s="52">
        <f>SUM(E137:E140)</f>
        <v>0.20334270676691729</v>
      </c>
      <c r="F141" s="37"/>
      <c r="G141" s="37"/>
      <c r="H141" s="489" t="s">
        <v>220</v>
      </c>
      <c r="I141" s="489"/>
      <c r="J141" s="53">
        <f>+J137</f>
        <v>0.44725192584766121</v>
      </c>
      <c r="K141" s="37"/>
      <c r="L141" s="37"/>
      <c r="M141" s="37"/>
      <c r="N141" s="37">
        <f>+N137</f>
        <v>0.34431809874454544</v>
      </c>
      <c r="O141" s="490"/>
      <c r="P141" s="491"/>
      <c r="Q141" s="367"/>
      <c r="R141" s="357"/>
    </row>
    <row r="145" spans="1:18" ht="15.75" x14ac:dyDescent="0.25">
      <c r="A145" s="506" t="s">
        <v>208</v>
      </c>
      <c r="B145" s="507"/>
      <c r="C145" s="507"/>
      <c r="D145" s="507"/>
      <c r="E145" s="507"/>
      <c r="F145" s="507"/>
      <c r="G145" s="507"/>
      <c r="H145" s="507"/>
      <c r="I145" s="507"/>
      <c r="J145" s="507"/>
      <c r="K145" s="507"/>
      <c r="L145" s="507"/>
      <c r="M145" s="507"/>
      <c r="N145" s="507"/>
      <c r="O145" s="507"/>
      <c r="P145" s="507"/>
      <c r="Q145" s="507"/>
      <c r="R145" s="508"/>
    </row>
    <row r="146" spans="1:18" ht="15.75" x14ac:dyDescent="0.25">
      <c r="A146" s="326" t="s">
        <v>209</v>
      </c>
      <c r="B146" s="325"/>
      <c r="C146" s="39"/>
      <c r="D146" s="55"/>
      <c r="E146" s="39"/>
      <c r="F146" s="39"/>
      <c r="G146" s="39"/>
      <c r="H146" s="494"/>
      <c r="I146" s="494"/>
      <c r="J146" s="494"/>
      <c r="K146" s="39"/>
      <c r="L146" s="39"/>
      <c r="M146" s="39"/>
      <c r="N146" s="39"/>
      <c r="O146" s="39"/>
      <c r="P146" s="39"/>
      <c r="Q146" s="39"/>
      <c r="R146" s="42"/>
    </row>
    <row r="147" spans="1:18" ht="15.75" x14ac:dyDescent="0.25">
      <c r="A147" s="326" t="s">
        <v>228</v>
      </c>
      <c r="B147" s="493" t="s">
        <v>116</v>
      </c>
      <c r="C147" s="493"/>
      <c r="D147" s="55"/>
      <c r="E147" s="39"/>
      <c r="F147" s="39"/>
      <c r="G147" s="39"/>
      <c r="H147" s="494"/>
      <c r="I147" s="494"/>
      <c r="J147" s="494"/>
      <c r="K147" s="39"/>
      <c r="L147" s="39"/>
      <c r="M147" s="39"/>
      <c r="N147" s="39"/>
      <c r="O147" s="39"/>
      <c r="P147" s="39"/>
      <c r="Q147" s="39"/>
      <c r="R147" s="42"/>
    </row>
    <row r="148" spans="1:18" ht="15.75" x14ac:dyDescent="0.25">
      <c r="A148" s="492" t="s">
        <v>210</v>
      </c>
      <c r="B148" s="493"/>
      <c r="C148" s="325"/>
      <c r="D148" s="56"/>
      <c r="E148" s="39"/>
      <c r="F148" s="39"/>
      <c r="G148" s="39"/>
      <c r="H148" s="494"/>
      <c r="I148" s="494"/>
      <c r="J148" s="494"/>
      <c r="K148" s="39"/>
      <c r="L148" s="39"/>
      <c r="M148" s="39"/>
      <c r="N148" s="39"/>
      <c r="O148" s="39"/>
      <c r="P148" s="39"/>
      <c r="Q148" s="39"/>
      <c r="R148" s="42"/>
    </row>
    <row r="149" spans="1:18" ht="15.75" x14ac:dyDescent="0.25">
      <c r="A149" s="495" t="s">
        <v>211</v>
      </c>
      <c r="B149" s="494"/>
      <c r="C149" s="494"/>
      <c r="D149" s="55"/>
      <c r="E149" s="39"/>
      <c r="F149" s="39"/>
      <c r="G149" s="39"/>
      <c r="H149" s="494"/>
      <c r="I149" s="494"/>
      <c r="J149" s="494"/>
      <c r="K149" s="39"/>
      <c r="L149" s="39"/>
      <c r="M149" s="39"/>
      <c r="N149" s="39"/>
      <c r="O149" s="39"/>
      <c r="P149" s="39"/>
      <c r="Q149" s="39"/>
      <c r="R149" s="42"/>
    </row>
    <row r="150" spans="1:18" ht="15.75" x14ac:dyDescent="0.25">
      <c r="A150" s="496" t="s">
        <v>212</v>
      </c>
      <c r="B150" s="496"/>
      <c r="C150" s="496"/>
      <c r="D150" s="496"/>
      <c r="E150" s="496"/>
      <c r="F150" s="496" t="s">
        <v>213</v>
      </c>
      <c r="G150" s="496"/>
      <c r="H150" s="496"/>
      <c r="I150" s="496"/>
      <c r="J150" s="496"/>
      <c r="K150" s="497" t="s">
        <v>221</v>
      </c>
      <c r="L150" s="497"/>
      <c r="M150" s="497"/>
      <c r="N150" s="497"/>
      <c r="O150" s="496" t="s">
        <v>222</v>
      </c>
      <c r="P150" s="496"/>
      <c r="Q150" s="496"/>
      <c r="R150" s="496"/>
    </row>
    <row r="151" spans="1:18" ht="31.5" x14ac:dyDescent="0.25">
      <c r="A151" s="327" t="s">
        <v>0</v>
      </c>
      <c r="B151" s="327" t="s">
        <v>1</v>
      </c>
      <c r="C151" s="327" t="s">
        <v>214</v>
      </c>
      <c r="D151" s="57" t="s">
        <v>215</v>
      </c>
      <c r="E151" s="49" t="s">
        <v>216</v>
      </c>
      <c r="F151" s="327" t="s">
        <v>0</v>
      </c>
      <c r="G151" s="49" t="s">
        <v>217</v>
      </c>
      <c r="H151" s="327" t="s">
        <v>218</v>
      </c>
      <c r="I151" s="49" t="s">
        <v>219</v>
      </c>
      <c r="J151" s="49" t="s">
        <v>216</v>
      </c>
      <c r="K151" s="327" t="s">
        <v>0</v>
      </c>
      <c r="L151" s="49" t="s">
        <v>321</v>
      </c>
      <c r="M151" s="49" t="s">
        <v>224</v>
      </c>
      <c r="N151" s="49" t="s">
        <v>216</v>
      </c>
      <c r="O151" s="496"/>
      <c r="P151" s="496"/>
      <c r="Q151" s="496"/>
      <c r="R151" s="496"/>
    </row>
    <row r="152" spans="1:18" ht="15.75" x14ac:dyDescent="0.25">
      <c r="A152" s="50"/>
      <c r="B152" s="312" t="s">
        <v>536</v>
      </c>
      <c r="C152" s="396">
        <v>3</v>
      </c>
      <c r="D152" s="51">
        <f>+'kardex reactivos 3'!G400</f>
        <v>0.15640000000000001</v>
      </c>
      <c r="E152" s="51">
        <f>+C152*D152</f>
        <v>0.46920000000000006</v>
      </c>
      <c r="F152" s="37"/>
      <c r="G152" s="37"/>
      <c r="H152" s="37">
        <f>+'Minutos MOD por exmen '!C11</f>
        <v>1.1666666666666667</v>
      </c>
      <c r="I152" s="100">
        <f>+'tasa MOD '!I37</f>
        <v>4.4725192584766118</v>
      </c>
      <c r="J152" s="37">
        <f>+I152*H152</f>
        <v>5.2179391348893809</v>
      </c>
      <c r="K152" s="37"/>
      <c r="L152" s="37">
        <f>+J161</f>
        <v>5.2179391348893809</v>
      </c>
      <c r="M152" s="109">
        <f>+'tasa cif'!G9</f>
        <v>0.76985269116945931</v>
      </c>
      <c r="N152" s="37">
        <f>+L152*M152</f>
        <v>4.01704448535303</v>
      </c>
      <c r="O152" s="505" t="s">
        <v>225</v>
      </c>
      <c r="P152" s="505"/>
      <c r="Q152" s="35">
        <f>+E161</f>
        <v>2.3125733333333334</v>
      </c>
      <c r="R152" s="38"/>
    </row>
    <row r="153" spans="1:18" ht="15.75" x14ac:dyDescent="0.25">
      <c r="A153" s="50"/>
      <c r="B153" s="14" t="s">
        <v>233</v>
      </c>
      <c r="C153" s="396">
        <v>1</v>
      </c>
      <c r="D153" s="51">
        <f>+'kardex reactivos 1'!G327</f>
        <v>5.3400000000000003E-2</v>
      </c>
      <c r="E153" s="51">
        <f>+C153*D153</f>
        <v>5.3400000000000003E-2</v>
      </c>
      <c r="F153" s="37"/>
      <c r="G153" s="37"/>
      <c r="H153" s="37"/>
      <c r="I153" s="37"/>
      <c r="J153" s="37"/>
      <c r="K153" s="37"/>
      <c r="L153" s="37"/>
      <c r="M153" s="37"/>
      <c r="N153" s="37"/>
      <c r="O153" s="505" t="s">
        <v>226</v>
      </c>
      <c r="P153" s="505"/>
      <c r="Q153">
        <f>+J161</f>
        <v>5.2179391348893809</v>
      </c>
      <c r="R153" s="38"/>
    </row>
    <row r="154" spans="1:18" ht="15.75" x14ac:dyDescent="0.25">
      <c r="A154" s="50"/>
      <c r="B154" s="14" t="s">
        <v>234</v>
      </c>
      <c r="C154" s="396">
        <v>1</v>
      </c>
      <c r="D154" s="51">
        <f>+'kardex reactivos 1'!G349</f>
        <v>3.497999999999999E-2</v>
      </c>
      <c r="E154" s="51">
        <f>+C154*D154</f>
        <v>3.497999999999999E-2</v>
      </c>
      <c r="F154" s="37"/>
      <c r="G154" s="37"/>
      <c r="H154" s="37"/>
      <c r="I154" s="37"/>
      <c r="J154" s="37"/>
      <c r="K154" s="37"/>
      <c r="L154" s="37"/>
      <c r="M154" s="37"/>
      <c r="N154" s="37"/>
      <c r="O154" s="43" t="s">
        <v>227</v>
      </c>
      <c r="P154" s="324"/>
      <c r="Q154">
        <f>+N161</f>
        <v>4.01704448535303</v>
      </c>
      <c r="R154" s="38"/>
    </row>
    <row r="155" spans="1:18" ht="16.5" thickBot="1" x14ac:dyDescent="0.3">
      <c r="A155" s="50"/>
      <c r="B155" s="14" t="s">
        <v>98</v>
      </c>
      <c r="C155" s="396">
        <v>1</v>
      </c>
      <c r="D155" s="51">
        <f>+'kardex reactivos 1'!G371</f>
        <v>2.8859999999999997E-2</v>
      </c>
      <c r="E155" s="51">
        <f t="shared" ref="E155:E159" si="5">+C155*D155</f>
        <v>2.8859999999999997E-2</v>
      </c>
      <c r="F155" s="37"/>
      <c r="G155" s="37"/>
      <c r="H155" s="37"/>
      <c r="I155" s="37"/>
      <c r="J155" s="37"/>
      <c r="K155" s="37"/>
      <c r="L155" s="37"/>
      <c r="M155" s="37"/>
      <c r="N155" s="37"/>
      <c r="O155" s="43"/>
      <c r="P155" s="324"/>
      <c r="Q155" s="356">
        <f>SUM(Q152:Q154)</f>
        <v>11.547556953575743</v>
      </c>
      <c r="R155" s="38"/>
    </row>
    <row r="156" spans="1:18" ht="16.5" thickTop="1" x14ac:dyDescent="0.25">
      <c r="A156" s="50"/>
      <c r="B156" s="14" t="s">
        <v>99</v>
      </c>
      <c r="C156" s="396">
        <v>1.5</v>
      </c>
      <c r="D156" s="51">
        <f>+'kardex reactivos 1'!G396</f>
        <v>3.7999999999999999E-2</v>
      </c>
      <c r="E156" s="51">
        <f t="shared" si="5"/>
        <v>5.6999999999999995E-2</v>
      </c>
      <c r="F156" s="37"/>
      <c r="G156" s="37"/>
      <c r="H156" s="37"/>
      <c r="I156" s="37"/>
      <c r="J156" s="37"/>
      <c r="K156" s="37"/>
      <c r="L156" s="37"/>
      <c r="M156" s="37"/>
      <c r="N156" s="37"/>
      <c r="O156" s="43"/>
      <c r="P156" s="324"/>
      <c r="R156" s="38"/>
    </row>
    <row r="157" spans="1:18" ht="15.75" x14ac:dyDescent="0.25">
      <c r="A157" s="50"/>
      <c r="B157" s="14" t="s">
        <v>116</v>
      </c>
      <c r="C157" s="396">
        <v>2</v>
      </c>
      <c r="D157" s="51">
        <f>+'kardex reactivos 2'!G61</f>
        <v>0.4763</v>
      </c>
      <c r="E157" s="51">
        <f t="shared" si="5"/>
        <v>0.9526</v>
      </c>
      <c r="F157" s="37"/>
      <c r="G157" s="37"/>
      <c r="H157" s="37"/>
      <c r="I157" s="37"/>
      <c r="J157" s="37"/>
      <c r="K157" s="37"/>
      <c r="L157" s="37"/>
      <c r="M157" s="37"/>
      <c r="N157" s="37"/>
      <c r="O157" s="43"/>
      <c r="P157" s="324"/>
      <c r="R157" s="38"/>
    </row>
    <row r="158" spans="1:18" ht="15.75" x14ac:dyDescent="0.25">
      <c r="A158" s="50"/>
      <c r="B158" s="14" t="s">
        <v>235</v>
      </c>
      <c r="C158" s="396">
        <v>1</v>
      </c>
      <c r="D158" s="51">
        <f>+'kardex reactivos 1'!G431</f>
        <v>8.2959999999999992E-2</v>
      </c>
      <c r="E158" s="51">
        <f t="shared" si="5"/>
        <v>8.2959999999999992E-2</v>
      </c>
      <c r="F158" s="37"/>
      <c r="G158" s="37"/>
      <c r="H158" s="37"/>
      <c r="I158" s="37"/>
      <c r="J158" s="37"/>
      <c r="K158" s="37"/>
      <c r="L158" s="37"/>
      <c r="M158" s="37"/>
      <c r="N158" s="37"/>
      <c r="O158" s="43"/>
      <c r="P158" s="324"/>
      <c r="R158" s="38"/>
    </row>
    <row r="159" spans="1:18" ht="15.75" x14ac:dyDescent="0.25">
      <c r="A159" s="50"/>
      <c r="B159" s="312" t="s">
        <v>537</v>
      </c>
      <c r="C159" s="396">
        <v>2.5</v>
      </c>
      <c r="D159" s="51">
        <f>+'kardex reactivos 1'!G506</f>
        <v>0.245</v>
      </c>
      <c r="E159" s="51">
        <f t="shared" si="5"/>
        <v>0.61250000000000004</v>
      </c>
      <c r="F159" s="37"/>
      <c r="G159" s="37"/>
      <c r="H159" s="37"/>
      <c r="I159" s="37"/>
      <c r="J159" s="37"/>
      <c r="K159" s="37"/>
      <c r="L159" s="37"/>
      <c r="M159" s="37"/>
      <c r="N159" s="37"/>
      <c r="O159" s="43"/>
      <c r="P159" s="324"/>
      <c r="R159" s="38"/>
    </row>
    <row r="160" spans="1:18" ht="15.75" x14ac:dyDescent="0.25">
      <c r="A160" s="50"/>
      <c r="B160" s="14" t="s">
        <v>93</v>
      </c>
      <c r="C160" s="396">
        <v>0.5</v>
      </c>
      <c r="D160" s="51">
        <f>+'kardex reactivos 1'!G274</f>
        <v>4.2146666666666666E-2</v>
      </c>
      <c r="E160" s="51">
        <f>+C160*D160</f>
        <v>2.1073333333333333E-2</v>
      </c>
      <c r="F160" s="37"/>
      <c r="G160" s="37"/>
      <c r="H160" s="37"/>
      <c r="I160" s="37"/>
      <c r="J160" s="37"/>
      <c r="K160" s="37"/>
      <c r="L160" s="37"/>
      <c r="M160" s="37"/>
      <c r="N160" s="37"/>
      <c r="O160" s="43"/>
      <c r="P160" s="324"/>
      <c r="R160" s="38"/>
    </row>
    <row r="161" spans="1:18" ht="15.75" x14ac:dyDescent="0.25">
      <c r="A161" s="489" t="s">
        <v>220</v>
      </c>
      <c r="B161" s="489"/>
      <c r="C161" s="489"/>
      <c r="D161" s="489"/>
      <c r="E161" s="52">
        <f>SUM(E152:E160)</f>
        <v>2.3125733333333334</v>
      </c>
      <c r="F161" s="37"/>
      <c r="G161" s="37"/>
      <c r="H161" s="489" t="s">
        <v>220</v>
      </c>
      <c r="I161" s="489"/>
      <c r="J161" s="53">
        <f>+J152</f>
        <v>5.2179391348893809</v>
      </c>
      <c r="K161" s="37"/>
      <c r="L161" s="37"/>
      <c r="M161" s="37"/>
      <c r="N161" s="37">
        <f>+N152</f>
        <v>4.01704448535303</v>
      </c>
      <c r="O161" s="490"/>
      <c r="P161" s="491"/>
      <c r="Q161" s="367"/>
      <c r="R161" s="357"/>
    </row>
    <row r="167" spans="1:18" ht="15.75" x14ac:dyDescent="0.25">
      <c r="A167" s="506" t="s">
        <v>208</v>
      </c>
      <c r="B167" s="507"/>
      <c r="C167" s="507"/>
      <c r="D167" s="507"/>
      <c r="E167" s="507"/>
      <c r="F167" s="507"/>
      <c r="G167" s="507"/>
      <c r="H167" s="507"/>
      <c r="I167" s="507"/>
      <c r="J167" s="507"/>
      <c r="K167" s="507"/>
      <c r="L167" s="507"/>
      <c r="M167" s="507"/>
      <c r="N167" s="507"/>
      <c r="O167" s="507"/>
      <c r="P167" s="507"/>
      <c r="Q167" s="507"/>
      <c r="R167" s="508"/>
    </row>
    <row r="168" spans="1:18" ht="15.75" x14ac:dyDescent="0.25">
      <c r="A168" s="333" t="s">
        <v>209</v>
      </c>
      <c r="B168" s="332"/>
      <c r="C168" s="39"/>
      <c r="D168" s="55"/>
      <c r="E168" s="39"/>
      <c r="F168" s="39"/>
      <c r="G168" s="39"/>
      <c r="H168" s="494"/>
      <c r="I168" s="494"/>
      <c r="J168" s="494"/>
      <c r="K168" s="39"/>
      <c r="L168" s="39"/>
      <c r="M168" s="39"/>
      <c r="N168" s="39"/>
      <c r="O168" s="39"/>
      <c r="P168" s="39"/>
      <c r="Q168" s="39"/>
      <c r="R168" s="42"/>
    </row>
    <row r="169" spans="1:18" ht="15.75" x14ac:dyDescent="0.25">
      <c r="A169" s="333" t="s">
        <v>228</v>
      </c>
      <c r="B169" s="493" t="s">
        <v>539</v>
      </c>
      <c r="C169" s="493"/>
      <c r="D169" s="55"/>
      <c r="E169" s="39"/>
      <c r="F169" s="39"/>
      <c r="G169" s="39"/>
      <c r="H169" s="494"/>
      <c r="I169" s="494"/>
      <c r="J169" s="494"/>
      <c r="K169" s="39"/>
      <c r="L169" s="39"/>
      <c r="M169" s="39"/>
      <c r="N169" s="39"/>
      <c r="O169" s="39"/>
      <c r="P169" s="39"/>
      <c r="Q169" s="39"/>
      <c r="R169" s="42"/>
    </row>
    <row r="170" spans="1:18" ht="15.75" x14ac:dyDescent="0.25">
      <c r="A170" s="492" t="s">
        <v>210</v>
      </c>
      <c r="B170" s="493"/>
      <c r="C170" s="332"/>
      <c r="D170" s="56"/>
      <c r="E170" s="39"/>
      <c r="F170" s="39"/>
      <c r="G170" s="39"/>
      <c r="H170" s="494"/>
      <c r="I170" s="494"/>
      <c r="J170" s="494"/>
      <c r="K170" s="39"/>
      <c r="L170" s="39"/>
      <c r="M170" s="39"/>
      <c r="N170" s="39"/>
      <c r="O170" s="39"/>
      <c r="P170" s="39"/>
      <c r="Q170" s="39"/>
      <c r="R170" s="42"/>
    </row>
    <row r="171" spans="1:18" ht="15.75" x14ac:dyDescent="0.25">
      <c r="A171" s="495" t="s">
        <v>211</v>
      </c>
      <c r="B171" s="494"/>
      <c r="C171" s="494"/>
      <c r="D171" s="55"/>
      <c r="E171" s="39"/>
      <c r="F171" s="39"/>
      <c r="G171" s="39"/>
      <c r="H171" s="494"/>
      <c r="I171" s="494"/>
      <c r="J171" s="494"/>
      <c r="K171" s="39"/>
      <c r="L171" s="39"/>
      <c r="M171" s="39"/>
      <c r="N171" s="39"/>
      <c r="O171" s="39"/>
      <c r="P171" s="39"/>
      <c r="Q171" s="39"/>
      <c r="R171" s="42"/>
    </row>
    <row r="172" spans="1:18" ht="15.75" x14ac:dyDescent="0.25">
      <c r="A172" s="496" t="s">
        <v>212</v>
      </c>
      <c r="B172" s="496"/>
      <c r="C172" s="496"/>
      <c r="D172" s="496"/>
      <c r="E172" s="496"/>
      <c r="F172" s="496" t="s">
        <v>213</v>
      </c>
      <c r="G172" s="496"/>
      <c r="H172" s="496"/>
      <c r="I172" s="496"/>
      <c r="J172" s="496"/>
      <c r="K172" s="497" t="s">
        <v>221</v>
      </c>
      <c r="L172" s="497"/>
      <c r="M172" s="497"/>
      <c r="N172" s="497"/>
      <c r="O172" s="496" t="s">
        <v>222</v>
      </c>
      <c r="P172" s="496"/>
      <c r="Q172" s="496"/>
      <c r="R172" s="496"/>
    </row>
    <row r="173" spans="1:18" ht="31.5" x14ac:dyDescent="0.25">
      <c r="A173" s="334" t="s">
        <v>0</v>
      </c>
      <c r="B173" s="334" t="s">
        <v>1</v>
      </c>
      <c r="C173" s="334" t="s">
        <v>214</v>
      </c>
      <c r="D173" s="57" t="s">
        <v>215</v>
      </c>
      <c r="E173" s="49" t="s">
        <v>216</v>
      </c>
      <c r="F173" s="334" t="s">
        <v>0</v>
      </c>
      <c r="G173" s="49" t="s">
        <v>217</v>
      </c>
      <c r="H173" s="334" t="s">
        <v>218</v>
      </c>
      <c r="I173" s="49" t="s">
        <v>219</v>
      </c>
      <c r="J173" s="49" t="s">
        <v>216</v>
      </c>
      <c r="K173" s="334" t="s">
        <v>0</v>
      </c>
      <c r="L173" s="49" t="s">
        <v>321</v>
      </c>
      <c r="M173" s="49" t="s">
        <v>224</v>
      </c>
      <c r="N173" s="49" t="s">
        <v>216</v>
      </c>
      <c r="O173" s="496"/>
      <c r="P173" s="496"/>
      <c r="Q173" s="496"/>
      <c r="R173" s="496"/>
    </row>
    <row r="174" spans="1:18" ht="15.75" x14ac:dyDescent="0.25">
      <c r="A174" s="50"/>
      <c r="B174" s="312" t="s">
        <v>540</v>
      </c>
      <c r="C174" s="396">
        <v>3</v>
      </c>
      <c r="D174" s="51">
        <f>+'kardex reactivos 3'!G374</f>
        <v>0.15640000000000001</v>
      </c>
      <c r="E174" s="51">
        <f>+C174*D174</f>
        <v>0.46920000000000006</v>
      </c>
      <c r="F174" s="37"/>
      <c r="G174" s="37"/>
      <c r="H174" s="37">
        <f>+'Minutos MOD por exmen '!C12</f>
        <v>2</v>
      </c>
      <c r="I174" s="100">
        <f>+'tasa MOD '!I37</f>
        <v>4.4725192584766118</v>
      </c>
      <c r="J174" s="37">
        <f>+I174*H174</f>
        <v>8.9450385169532236</v>
      </c>
      <c r="K174" s="37"/>
      <c r="L174" s="37">
        <f>+J183</f>
        <v>8.9450385169532236</v>
      </c>
      <c r="M174" s="109">
        <f>+'tasa cif'!G9</f>
        <v>0.76985269116945931</v>
      </c>
      <c r="N174" s="37">
        <f>+L174*M174</f>
        <v>6.8863619748909084</v>
      </c>
      <c r="O174" s="505" t="s">
        <v>225</v>
      </c>
      <c r="P174" s="505"/>
      <c r="Q174" s="35">
        <f>+E183</f>
        <v>2.2093733333333332</v>
      </c>
      <c r="R174" s="38"/>
    </row>
    <row r="175" spans="1:18" ht="15.75" x14ac:dyDescent="0.25">
      <c r="A175" s="50"/>
      <c r="B175" s="14" t="s">
        <v>233</v>
      </c>
      <c r="C175" s="396">
        <v>1</v>
      </c>
      <c r="D175" s="51">
        <f>+'kardex reactivos 1'!G328</f>
        <v>5.3400000000000003E-2</v>
      </c>
      <c r="E175" s="51">
        <f>+C175*D175</f>
        <v>5.3400000000000003E-2</v>
      </c>
      <c r="F175" s="37"/>
      <c r="G175" s="37"/>
      <c r="H175" s="37"/>
      <c r="I175" s="37"/>
      <c r="J175" s="37"/>
      <c r="K175" s="37"/>
      <c r="L175" s="37"/>
      <c r="M175" s="37"/>
      <c r="N175" s="37"/>
      <c r="O175" s="505" t="s">
        <v>226</v>
      </c>
      <c r="P175" s="505"/>
      <c r="Q175">
        <f>+J183</f>
        <v>8.9450385169532236</v>
      </c>
      <c r="R175" s="38"/>
    </row>
    <row r="176" spans="1:18" ht="15.75" x14ac:dyDescent="0.25">
      <c r="A176" s="50"/>
      <c r="B176" s="14" t="s">
        <v>234</v>
      </c>
      <c r="C176" s="396">
        <v>1</v>
      </c>
      <c r="D176" s="51">
        <f>+'kardex reactivos 1'!G350</f>
        <v>3.497999999999999E-2</v>
      </c>
      <c r="E176" s="51">
        <f>+C176*D176</f>
        <v>3.497999999999999E-2</v>
      </c>
      <c r="F176" s="37"/>
      <c r="G176" s="37"/>
      <c r="H176" s="37"/>
      <c r="I176" s="37"/>
      <c r="J176" s="37"/>
      <c r="K176" s="37"/>
      <c r="L176" s="37"/>
      <c r="M176" s="37"/>
      <c r="N176" s="37"/>
      <c r="O176" s="43" t="s">
        <v>227</v>
      </c>
      <c r="P176" s="331"/>
      <c r="Q176">
        <f>+N183</f>
        <v>6.8863619748909084</v>
      </c>
      <c r="R176" s="38"/>
    </row>
    <row r="177" spans="1:18" ht="16.5" thickBot="1" x14ac:dyDescent="0.3">
      <c r="A177" s="50"/>
      <c r="B177" s="14" t="s">
        <v>98</v>
      </c>
      <c r="C177" s="396">
        <v>1</v>
      </c>
      <c r="D177" s="51">
        <f>+'kardex reactivos 1'!G372</f>
        <v>2.8859999999999997E-2</v>
      </c>
      <c r="E177" s="51">
        <f t="shared" ref="E177:E181" si="6">+C177*D177</f>
        <v>2.8859999999999997E-2</v>
      </c>
      <c r="F177" s="37"/>
      <c r="G177" s="37"/>
      <c r="H177" s="37"/>
      <c r="I177" s="37"/>
      <c r="J177" s="37"/>
      <c r="K177" s="37"/>
      <c r="L177" s="37"/>
      <c r="M177" s="37"/>
      <c r="N177" s="37"/>
      <c r="O177" s="43"/>
      <c r="P177" s="331"/>
      <c r="Q177" s="356">
        <f>SUM(Q174:Q176)</f>
        <v>18.040773825177467</v>
      </c>
      <c r="R177" s="38"/>
    </row>
    <row r="178" spans="1:18" ht="16.5" thickTop="1" x14ac:dyDescent="0.25">
      <c r="A178" s="50"/>
      <c r="B178" s="14" t="s">
        <v>99</v>
      </c>
      <c r="C178" s="396">
        <v>1.5</v>
      </c>
      <c r="D178" s="51">
        <f>+'kardex reactivos 1'!G397</f>
        <v>3.7999999999999999E-2</v>
      </c>
      <c r="E178" s="51">
        <f t="shared" si="6"/>
        <v>5.6999999999999995E-2</v>
      </c>
      <c r="F178" s="37"/>
      <c r="G178" s="37"/>
      <c r="H178" s="37"/>
      <c r="I178" s="37"/>
      <c r="J178" s="37"/>
      <c r="K178" s="37"/>
      <c r="L178" s="37"/>
      <c r="M178" s="37"/>
      <c r="N178" s="37"/>
      <c r="O178" s="43"/>
      <c r="P178" s="331"/>
      <c r="R178" s="38"/>
    </row>
    <row r="179" spans="1:18" ht="15.75" x14ac:dyDescent="0.25">
      <c r="A179" s="50"/>
      <c r="B179" s="14" t="s">
        <v>539</v>
      </c>
      <c r="C179" s="396">
        <v>2</v>
      </c>
      <c r="D179" s="51">
        <f>+'kardex reactivos 2'!G74</f>
        <v>0.42469999999999997</v>
      </c>
      <c r="E179" s="51">
        <f t="shared" si="6"/>
        <v>0.84939999999999993</v>
      </c>
      <c r="F179" s="37"/>
      <c r="G179" s="37"/>
      <c r="H179" s="37"/>
      <c r="I179" s="37"/>
      <c r="J179" s="37"/>
      <c r="K179" s="37"/>
      <c r="L179" s="37"/>
      <c r="M179" s="37"/>
      <c r="N179" s="37"/>
      <c r="O179" s="43"/>
      <c r="P179" s="331"/>
      <c r="R179" s="38"/>
    </row>
    <row r="180" spans="1:18" ht="15.75" x14ac:dyDescent="0.25">
      <c r="A180" s="50"/>
      <c r="B180" s="14" t="s">
        <v>235</v>
      </c>
      <c r="C180" s="396">
        <v>1</v>
      </c>
      <c r="D180" s="51">
        <f>+'kardex reactivos 1'!G432</f>
        <v>8.2959999999999992E-2</v>
      </c>
      <c r="E180" s="51">
        <f t="shared" si="6"/>
        <v>8.2959999999999992E-2</v>
      </c>
      <c r="F180" s="37"/>
      <c r="G180" s="37"/>
      <c r="H180" s="37"/>
      <c r="I180" s="37"/>
      <c r="J180" s="37"/>
      <c r="K180" s="37"/>
      <c r="L180" s="37"/>
      <c r="M180" s="37"/>
      <c r="N180" s="37"/>
      <c r="O180" s="43"/>
      <c r="P180" s="331"/>
      <c r="R180" s="38"/>
    </row>
    <row r="181" spans="1:18" ht="15.75" x14ac:dyDescent="0.25">
      <c r="A181" s="50"/>
      <c r="B181" s="14" t="s">
        <v>541</v>
      </c>
      <c r="C181" s="396">
        <v>2.5</v>
      </c>
      <c r="D181" s="51">
        <f>+'kardex reactivos 1'!G533</f>
        <v>0.245</v>
      </c>
      <c r="E181" s="51">
        <f t="shared" si="6"/>
        <v>0.61250000000000004</v>
      </c>
      <c r="F181" s="37"/>
      <c r="G181" s="37"/>
      <c r="H181" s="37"/>
      <c r="I181" s="37"/>
      <c r="J181" s="37"/>
      <c r="K181" s="37"/>
      <c r="L181" s="37"/>
      <c r="M181" s="37"/>
      <c r="N181" s="37"/>
      <c r="O181" s="43"/>
      <c r="P181" s="331"/>
      <c r="R181" s="38"/>
    </row>
    <row r="182" spans="1:18" ht="15.75" x14ac:dyDescent="0.25">
      <c r="A182" s="50"/>
      <c r="B182" s="14" t="s">
        <v>93</v>
      </c>
      <c r="C182" s="396">
        <v>0.5</v>
      </c>
      <c r="D182" s="51">
        <f>+'kardex reactivos 1'!G275</f>
        <v>4.2146666666666666E-2</v>
      </c>
      <c r="E182" s="51">
        <f>+C182*D182</f>
        <v>2.1073333333333333E-2</v>
      </c>
      <c r="F182" s="37"/>
      <c r="G182" s="37"/>
      <c r="H182" s="37"/>
      <c r="I182" s="37"/>
      <c r="J182" s="37"/>
      <c r="K182" s="37"/>
      <c r="L182" s="37"/>
      <c r="M182" s="37"/>
      <c r="N182" s="37"/>
      <c r="O182" s="43"/>
      <c r="P182" s="331"/>
      <c r="R182" s="38"/>
    </row>
    <row r="183" spans="1:18" ht="15.75" x14ac:dyDescent="0.25">
      <c r="A183" s="489" t="s">
        <v>220</v>
      </c>
      <c r="B183" s="489"/>
      <c r="C183" s="489"/>
      <c r="D183" s="489"/>
      <c r="E183" s="52">
        <f>SUM(E174:E182)</f>
        <v>2.2093733333333332</v>
      </c>
      <c r="F183" s="37"/>
      <c r="G183" s="37"/>
      <c r="H183" s="489" t="s">
        <v>220</v>
      </c>
      <c r="I183" s="489"/>
      <c r="J183" s="53">
        <f>+J174</f>
        <v>8.9450385169532236</v>
      </c>
      <c r="K183" s="37"/>
      <c r="L183" s="37"/>
      <c r="M183" s="37"/>
      <c r="N183" s="37">
        <f>+N174</f>
        <v>6.8863619748909084</v>
      </c>
      <c r="O183" s="490"/>
      <c r="P183" s="491"/>
      <c r="Q183" s="367"/>
      <c r="R183" s="357"/>
    </row>
    <row r="186" spans="1:18" ht="15.75" x14ac:dyDescent="0.25">
      <c r="A186" s="506" t="s">
        <v>208</v>
      </c>
      <c r="B186" s="507"/>
      <c r="C186" s="507"/>
      <c r="D186" s="507"/>
      <c r="E186" s="507"/>
      <c r="F186" s="507"/>
      <c r="G186" s="507"/>
      <c r="H186" s="507"/>
      <c r="I186" s="507"/>
      <c r="J186" s="507"/>
      <c r="K186" s="507"/>
      <c r="L186" s="507"/>
      <c r="M186" s="507"/>
      <c r="N186" s="507"/>
      <c r="O186" s="507"/>
      <c r="P186" s="507"/>
      <c r="Q186" s="507"/>
      <c r="R186" s="508"/>
    </row>
    <row r="187" spans="1:18" ht="15.75" x14ac:dyDescent="0.25">
      <c r="A187" s="333" t="s">
        <v>209</v>
      </c>
      <c r="B187" s="332"/>
      <c r="C187" s="39"/>
      <c r="D187" s="55"/>
      <c r="E187" s="39"/>
      <c r="F187" s="39"/>
      <c r="G187" s="39"/>
      <c r="H187" s="494"/>
      <c r="I187" s="494"/>
      <c r="J187" s="494"/>
      <c r="K187" s="39"/>
      <c r="L187" s="39"/>
      <c r="M187" s="39"/>
      <c r="N187" s="39"/>
      <c r="O187" s="39"/>
      <c r="P187" s="39"/>
      <c r="Q187" s="39"/>
      <c r="R187" s="42"/>
    </row>
    <row r="188" spans="1:18" ht="15.75" x14ac:dyDescent="0.25">
      <c r="A188" s="333" t="s">
        <v>228</v>
      </c>
      <c r="B188" s="493" t="s">
        <v>112</v>
      </c>
      <c r="C188" s="493"/>
      <c r="D188" s="55"/>
      <c r="E188" s="39"/>
      <c r="F188" s="39"/>
      <c r="G188" s="39"/>
      <c r="H188" s="494"/>
      <c r="I188" s="494"/>
      <c r="J188" s="494"/>
      <c r="K188" s="39"/>
      <c r="L188" s="39"/>
      <c r="M188" s="39"/>
      <c r="N188" s="39"/>
      <c r="O188" s="39"/>
      <c r="P188" s="39"/>
      <c r="Q188" s="39"/>
      <c r="R188" s="42"/>
    </row>
    <row r="189" spans="1:18" ht="15.75" x14ac:dyDescent="0.25">
      <c r="A189" s="492" t="s">
        <v>210</v>
      </c>
      <c r="B189" s="493"/>
      <c r="C189" s="332"/>
      <c r="D189" s="56"/>
      <c r="E189" s="39"/>
      <c r="F189" s="39"/>
      <c r="G189" s="39"/>
      <c r="H189" s="494"/>
      <c r="I189" s="494"/>
      <c r="J189" s="494"/>
      <c r="K189" s="39"/>
      <c r="L189" s="39"/>
      <c r="M189" s="39"/>
      <c r="N189" s="39"/>
      <c r="O189" s="39"/>
      <c r="P189" s="39"/>
      <c r="Q189" s="39"/>
      <c r="R189" s="42"/>
    </row>
    <row r="190" spans="1:18" ht="15.75" x14ac:dyDescent="0.25">
      <c r="A190" s="495" t="s">
        <v>211</v>
      </c>
      <c r="B190" s="494"/>
      <c r="C190" s="494"/>
      <c r="D190" s="55"/>
      <c r="E190" s="39"/>
      <c r="F190" s="39"/>
      <c r="G190" s="39"/>
      <c r="H190" s="494"/>
      <c r="I190" s="494"/>
      <c r="J190" s="494"/>
      <c r="K190" s="39"/>
      <c r="L190" s="39"/>
      <c r="M190" s="39"/>
      <c r="N190" s="39"/>
      <c r="O190" s="39"/>
      <c r="P190" s="39"/>
      <c r="Q190" s="39"/>
      <c r="R190" s="42"/>
    </row>
    <row r="191" spans="1:18" ht="15.75" x14ac:dyDescent="0.25">
      <c r="A191" s="496" t="s">
        <v>212</v>
      </c>
      <c r="B191" s="496"/>
      <c r="C191" s="496"/>
      <c r="D191" s="496"/>
      <c r="E191" s="496"/>
      <c r="F191" s="496" t="s">
        <v>213</v>
      </c>
      <c r="G191" s="496"/>
      <c r="H191" s="496"/>
      <c r="I191" s="496"/>
      <c r="J191" s="496"/>
      <c r="K191" s="497" t="s">
        <v>221</v>
      </c>
      <c r="L191" s="497"/>
      <c r="M191" s="497"/>
      <c r="N191" s="497"/>
      <c r="O191" s="496" t="s">
        <v>222</v>
      </c>
      <c r="P191" s="496"/>
      <c r="Q191" s="496"/>
      <c r="R191" s="496"/>
    </row>
    <row r="192" spans="1:18" ht="31.5" x14ac:dyDescent="0.25">
      <c r="A192" s="334" t="s">
        <v>0</v>
      </c>
      <c r="B192" s="334" t="s">
        <v>1</v>
      </c>
      <c r="C192" s="334" t="s">
        <v>214</v>
      </c>
      <c r="D192" s="57" t="s">
        <v>215</v>
      </c>
      <c r="E192" s="49" t="s">
        <v>216</v>
      </c>
      <c r="F192" s="334" t="s">
        <v>0</v>
      </c>
      <c r="G192" s="49" t="s">
        <v>217</v>
      </c>
      <c r="H192" s="334" t="s">
        <v>218</v>
      </c>
      <c r="I192" s="49" t="s">
        <v>219</v>
      </c>
      <c r="J192" s="49" t="s">
        <v>216</v>
      </c>
      <c r="K192" s="334" t="s">
        <v>0</v>
      </c>
      <c r="L192" s="49" t="s">
        <v>321</v>
      </c>
      <c r="M192" s="49" t="s">
        <v>224</v>
      </c>
      <c r="N192" s="49" t="s">
        <v>216</v>
      </c>
      <c r="O192" s="496"/>
      <c r="P192" s="496"/>
      <c r="Q192" s="496"/>
      <c r="R192" s="496"/>
    </row>
    <row r="193" spans="1:18" ht="15.75" x14ac:dyDescent="0.25">
      <c r="A193" s="50"/>
      <c r="B193" s="312" t="s">
        <v>543</v>
      </c>
      <c r="C193" s="396">
        <v>3</v>
      </c>
      <c r="D193" s="51">
        <f>+'kardex reactivos 3'!G307</f>
        <v>0.16950000000000001</v>
      </c>
      <c r="E193" s="51">
        <f>+C193*D193</f>
        <v>0.50850000000000006</v>
      </c>
      <c r="F193" s="37"/>
      <c r="G193" s="37"/>
      <c r="H193" s="37">
        <f>+'Minutos MOD por exmen '!C12</f>
        <v>2</v>
      </c>
      <c r="I193" s="100">
        <f>+'tasa MOD '!I37</f>
        <v>4.4725192584766118</v>
      </c>
      <c r="J193" s="37">
        <f>+I193*H193</f>
        <v>8.9450385169532236</v>
      </c>
      <c r="K193" s="37"/>
      <c r="L193" s="37">
        <f>+J202</f>
        <v>8.9450385169532236</v>
      </c>
      <c r="M193" s="109">
        <f>+'tasa cif'!G9</f>
        <v>0.76985269116945931</v>
      </c>
      <c r="N193" s="37">
        <f>+L193*M193</f>
        <v>6.8863619748909084</v>
      </c>
      <c r="O193" s="505" t="s">
        <v>225</v>
      </c>
      <c r="P193" s="505"/>
      <c r="Q193" s="35">
        <f>+E202</f>
        <v>2.3642733333333337</v>
      </c>
      <c r="R193" s="38"/>
    </row>
    <row r="194" spans="1:18" ht="15.75" x14ac:dyDescent="0.25">
      <c r="A194" s="50"/>
      <c r="B194" s="14" t="s">
        <v>233</v>
      </c>
      <c r="C194" s="396">
        <v>1</v>
      </c>
      <c r="D194" s="51">
        <f>+'kardex reactivos 1'!G329</f>
        <v>5.3400000000000003E-2</v>
      </c>
      <c r="E194" s="51">
        <f>+C194*D194</f>
        <v>5.3400000000000003E-2</v>
      </c>
      <c r="F194" s="37"/>
      <c r="G194" s="37"/>
      <c r="H194" s="37"/>
      <c r="I194" s="37"/>
      <c r="J194" s="37"/>
      <c r="K194" s="37"/>
      <c r="L194" s="37"/>
      <c r="M194" s="37"/>
      <c r="N194" s="37"/>
      <c r="O194" s="505" t="s">
        <v>226</v>
      </c>
      <c r="P194" s="505"/>
      <c r="Q194">
        <f>+J202</f>
        <v>8.9450385169532236</v>
      </c>
      <c r="R194" s="38"/>
    </row>
    <row r="195" spans="1:18" ht="15.75" x14ac:dyDescent="0.25">
      <c r="A195" s="50"/>
      <c r="B195" s="14" t="s">
        <v>544</v>
      </c>
      <c r="C195" s="396">
        <v>1</v>
      </c>
      <c r="D195" s="51">
        <f>+'kardex reactivos 1'!G351</f>
        <v>3.497999999999999E-2</v>
      </c>
      <c r="E195" s="51">
        <f>+C195*D195</f>
        <v>3.497999999999999E-2</v>
      </c>
      <c r="F195" s="37"/>
      <c r="G195" s="37"/>
      <c r="H195" s="37"/>
      <c r="I195" s="37"/>
      <c r="J195" s="37"/>
      <c r="K195" s="37"/>
      <c r="L195" s="37"/>
      <c r="M195" s="37"/>
      <c r="N195" s="37"/>
      <c r="O195" s="43" t="s">
        <v>227</v>
      </c>
      <c r="P195" s="331"/>
      <c r="Q195">
        <f>+N202</f>
        <v>6.8863619748909084</v>
      </c>
      <c r="R195" s="38"/>
    </row>
    <row r="196" spans="1:18" ht="16.5" thickBot="1" x14ac:dyDescent="0.3">
      <c r="A196" s="50"/>
      <c r="B196" s="14" t="s">
        <v>98</v>
      </c>
      <c r="C196" s="396">
        <v>1</v>
      </c>
      <c r="D196" s="51">
        <f>+'kardex reactivos 1'!G373</f>
        <v>2.8859999999999997E-2</v>
      </c>
      <c r="E196" s="51">
        <f t="shared" ref="E196:E200" si="7">+C196*D196</f>
        <v>2.8859999999999997E-2</v>
      </c>
      <c r="F196" s="37"/>
      <c r="G196" s="37"/>
      <c r="H196" s="37"/>
      <c r="I196" s="37"/>
      <c r="J196" s="37"/>
      <c r="K196" s="37"/>
      <c r="L196" s="37"/>
      <c r="M196" s="37"/>
      <c r="N196" s="37"/>
      <c r="O196" s="43"/>
      <c r="P196" s="331"/>
      <c r="Q196" s="356">
        <f>SUM(Q193:Q195)</f>
        <v>18.195673825177465</v>
      </c>
      <c r="R196" s="38"/>
    </row>
    <row r="197" spans="1:18" ht="16.5" thickTop="1" x14ac:dyDescent="0.25">
      <c r="A197" s="50"/>
      <c r="B197" s="14" t="s">
        <v>99</v>
      </c>
      <c r="C197" s="396">
        <v>1.5</v>
      </c>
      <c r="D197" s="51">
        <f>+'kardex reactivos 1'!G398</f>
        <v>3.7999999999999999E-2</v>
      </c>
      <c r="E197" s="51">
        <f t="shared" si="7"/>
        <v>5.6999999999999995E-2</v>
      </c>
      <c r="F197" s="37"/>
      <c r="G197" s="37"/>
      <c r="H197" s="37"/>
      <c r="I197" s="37"/>
      <c r="J197" s="37"/>
      <c r="K197" s="37"/>
      <c r="L197" s="37"/>
      <c r="M197" s="37"/>
      <c r="N197" s="37"/>
      <c r="O197" s="43"/>
      <c r="P197" s="331"/>
      <c r="R197" s="38"/>
    </row>
    <row r="198" spans="1:18" ht="15.75" x14ac:dyDescent="0.25">
      <c r="A198" s="50"/>
      <c r="B198" s="14" t="s">
        <v>112</v>
      </c>
      <c r="C198" s="396">
        <v>2</v>
      </c>
      <c r="D198" s="51">
        <f>+'kardex reactivos 2'!G9</f>
        <v>0.48249999999999998</v>
      </c>
      <c r="E198" s="51">
        <f t="shared" si="7"/>
        <v>0.96499999999999997</v>
      </c>
      <c r="F198" s="37"/>
      <c r="G198" s="37"/>
      <c r="H198" s="37"/>
      <c r="I198" s="37"/>
      <c r="J198" s="37"/>
      <c r="K198" s="37"/>
      <c r="L198" s="37"/>
      <c r="M198" s="37"/>
      <c r="N198" s="37"/>
      <c r="O198" s="43"/>
      <c r="P198" s="331"/>
      <c r="R198" s="38"/>
    </row>
    <row r="199" spans="1:18" ht="15.75" x14ac:dyDescent="0.25">
      <c r="A199" s="50"/>
      <c r="B199" s="14" t="s">
        <v>235</v>
      </c>
      <c r="C199" s="396">
        <v>1</v>
      </c>
      <c r="D199" s="51">
        <f>+'kardex reactivos 1'!G433</f>
        <v>8.2959999999999992E-2</v>
      </c>
      <c r="E199" s="51">
        <f t="shared" si="7"/>
        <v>8.2959999999999992E-2</v>
      </c>
      <c r="F199" s="37"/>
      <c r="G199" s="37"/>
      <c r="H199" s="37"/>
      <c r="I199" s="37"/>
      <c r="J199" s="37"/>
      <c r="K199" s="37"/>
      <c r="L199" s="37"/>
      <c r="M199" s="37"/>
      <c r="N199" s="37"/>
      <c r="O199" s="43"/>
      <c r="P199" s="331"/>
      <c r="R199" s="38"/>
    </row>
    <row r="200" spans="1:18" ht="15.75" x14ac:dyDescent="0.25">
      <c r="A200" s="50"/>
      <c r="B200" s="312" t="s">
        <v>545</v>
      </c>
      <c r="C200" s="396">
        <v>2.5</v>
      </c>
      <c r="D200" s="51">
        <f>+'kardex reactivos 1'!G465</f>
        <v>0.245</v>
      </c>
      <c r="E200" s="51">
        <f t="shared" si="7"/>
        <v>0.61250000000000004</v>
      </c>
      <c r="F200" s="37"/>
      <c r="G200" s="37"/>
      <c r="H200" s="37"/>
      <c r="I200" s="37"/>
      <c r="J200" s="37"/>
      <c r="K200" s="37"/>
      <c r="L200" s="37"/>
      <c r="M200" s="37"/>
      <c r="N200" s="37"/>
      <c r="O200" s="43"/>
      <c r="P200" s="331"/>
      <c r="R200" s="38"/>
    </row>
    <row r="201" spans="1:18" ht="15.75" x14ac:dyDescent="0.25">
      <c r="A201" s="50"/>
      <c r="B201" s="14" t="s">
        <v>93</v>
      </c>
      <c r="C201" s="396">
        <v>0.5</v>
      </c>
      <c r="D201" s="51">
        <f>+'kardex reactivos 1'!G276</f>
        <v>4.2146666666666666E-2</v>
      </c>
      <c r="E201" s="51">
        <f>+C201*D201</f>
        <v>2.1073333333333333E-2</v>
      </c>
      <c r="F201" s="37"/>
      <c r="G201" s="37"/>
      <c r="H201" s="37"/>
      <c r="I201" s="37"/>
      <c r="J201" s="37"/>
      <c r="K201" s="37"/>
      <c r="L201" s="37"/>
      <c r="M201" s="37"/>
      <c r="N201" s="37"/>
      <c r="O201" s="43"/>
      <c r="P201" s="331"/>
      <c r="R201" s="38"/>
    </row>
    <row r="202" spans="1:18" ht="15.75" x14ac:dyDescent="0.25">
      <c r="A202" s="489" t="s">
        <v>220</v>
      </c>
      <c r="B202" s="489"/>
      <c r="C202" s="489"/>
      <c r="D202" s="489"/>
      <c r="E202" s="52">
        <f>SUM(E193:E201)</f>
        <v>2.3642733333333337</v>
      </c>
      <c r="F202" s="37"/>
      <c r="G202" s="37"/>
      <c r="H202" s="489" t="s">
        <v>220</v>
      </c>
      <c r="I202" s="489"/>
      <c r="J202" s="53">
        <f>+J193</f>
        <v>8.9450385169532236</v>
      </c>
      <c r="K202" s="37"/>
      <c r="L202" s="37"/>
      <c r="M202" s="37"/>
      <c r="N202" s="375">
        <f>+N193</f>
        <v>6.8863619748909084</v>
      </c>
      <c r="O202" s="491"/>
      <c r="P202" s="491"/>
      <c r="Q202" s="367"/>
      <c r="R202" s="357"/>
    </row>
    <row r="206" spans="1:18" ht="15.75" x14ac:dyDescent="0.25">
      <c r="A206" s="506" t="s">
        <v>208</v>
      </c>
      <c r="B206" s="507"/>
      <c r="C206" s="507"/>
      <c r="D206" s="507"/>
      <c r="E206" s="507"/>
      <c r="F206" s="507"/>
      <c r="G206" s="507"/>
      <c r="H206" s="507"/>
      <c r="I206" s="507"/>
      <c r="J206" s="507"/>
      <c r="K206" s="507"/>
      <c r="L206" s="507"/>
      <c r="M206" s="507"/>
      <c r="N206" s="507"/>
      <c r="O206" s="507"/>
      <c r="P206" s="507"/>
      <c r="Q206" s="507"/>
      <c r="R206" s="508"/>
    </row>
    <row r="207" spans="1:18" ht="15.75" x14ac:dyDescent="0.25">
      <c r="A207" s="333" t="s">
        <v>209</v>
      </c>
      <c r="B207" s="332"/>
      <c r="C207" s="39"/>
      <c r="D207" s="55"/>
      <c r="E207" s="39"/>
      <c r="F207" s="39"/>
      <c r="G207" s="39"/>
      <c r="H207" s="494"/>
      <c r="I207" s="494"/>
      <c r="J207" s="494"/>
      <c r="K207" s="39"/>
      <c r="L207" s="39"/>
      <c r="M207" s="39"/>
      <c r="N207" s="39"/>
      <c r="O207" s="39"/>
      <c r="P207" s="39"/>
      <c r="Q207" s="39"/>
      <c r="R207" s="42"/>
    </row>
    <row r="208" spans="1:18" ht="15.75" x14ac:dyDescent="0.25">
      <c r="A208" s="333" t="s">
        <v>228</v>
      </c>
      <c r="B208" s="493" t="s">
        <v>113</v>
      </c>
      <c r="C208" s="493"/>
      <c r="D208" s="55"/>
      <c r="E208" s="39"/>
      <c r="F208" s="39"/>
      <c r="G208" s="39"/>
      <c r="H208" s="494"/>
      <c r="I208" s="494"/>
      <c r="J208" s="494"/>
      <c r="K208" s="39"/>
      <c r="L208" s="39"/>
      <c r="M208" s="39"/>
      <c r="N208" s="39"/>
      <c r="O208" s="39"/>
      <c r="P208" s="39"/>
      <c r="Q208" s="39"/>
      <c r="R208" s="42"/>
    </row>
    <row r="209" spans="1:18" ht="15.75" x14ac:dyDescent="0.25">
      <c r="A209" s="492" t="s">
        <v>210</v>
      </c>
      <c r="B209" s="493"/>
      <c r="C209" s="332"/>
      <c r="D209" s="56"/>
      <c r="E209" s="39"/>
      <c r="F209" s="39"/>
      <c r="G209" s="39"/>
      <c r="H209" s="494"/>
      <c r="I209" s="494"/>
      <c r="J209" s="494"/>
      <c r="K209" s="39"/>
      <c r="L209" s="39"/>
      <c r="M209" s="39"/>
      <c r="N209" s="39"/>
      <c r="O209" s="39"/>
      <c r="P209" s="39"/>
      <c r="Q209" s="39"/>
      <c r="R209" s="42"/>
    </row>
    <row r="210" spans="1:18" ht="15.75" x14ac:dyDescent="0.25">
      <c r="A210" s="495" t="s">
        <v>211</v>
      </c>
      <c r="B210" s="494"/>
      <c r="C210" s="494"/>
      <c r="D210" s="55"/>
      <c r="E210" s="39"/>
      <c r="F210" s="39"/>
      <c r="G210" s="39"/>
      <c r="H210" s="494"/>
      <c r="I210" s="494"/>
      <c r="J210" s="494"/>
      <c r="K210" s="39"/>
      <c r="L210" s="39"/>
      <c r="M210" s="39"/>
      <c r="N210" s="39"/>
      <c r="O210" s="39"/>
      <c r="P210" s="39"/>
      <c r="Q210" s="39"/>
      <c r="R210" s="42"/>
    </row>
    <row r="211" spans="1:18" ht="15.75" x14ac:dyDescent="0.25">
      <c r="A211" s="496" t="s">
        <v>212</v>
      </c>
      <c r="B211" s="496"/>
      <c r="C211" s="496"/>
      <c r="D211" s="496"/>
      <c r="E211" s="496"/>
      <c r="F211" s="496" t="s">
        <v>213</v>
      </c>
      <c r="G211" s="496"/>
      <c r="H211" s="496"/>
      <c r="I211" s="496"/>
      <c r="J211" s="496"/>
      <c r="K211" s="497" t="s">
        <v>221</v>
      </c>
      <c r="L211" s="497"/>
      <c r="M211" s="497"/>
      <c r="N211" s="497"/>
      <c r="O211" s="496" t="s">
        <v>222</v>
      </c>
      <c r="P211" s="496"/>
      <c r="Q211" s="496"/>
      <c r="R211" s="496"/>
    </row>
    <row r="212" spans="1:18" ht="31.5" x14ac:dyDescent="0.25">
      <c r="A212" s="334" t="s">
        <v>0</v>
      </c>
      <c r="B212" s="334" t="s">
        <v>1</v>
      </c>
      <c r="C212" s="334" t="s">
        <v>214</v>
      </c>
      <c r="D212" s="57" t="s">
        <v>215</v>
      </c>
      <c r="E212" s="49" t="s">
        <v>216</v>
      </c>
      <c r="F212" s="334" t="s">
        <v>0</v>
      </c>
      <c r="G212" s="49" t="s">
        <v>217</v>
      </c>
      <c r="H212" s="334" t="s">
        <v>218</v>
      </c>
      <c r="I212" s="49" t="s">
        <v>219</v>
      </c>
      <c r="J212" s="49" t="s">
        <v>216</v>
      </c>
      <c r="K212" s="334" t="s">
        <v>0</v>
      </c>
      <c r="L212" s="49" t="s">
        <v>321</v>
      </c>
      <c r="M212" s="49" t="s">
        <v>224</v>
      </c>
      <c r="N212" s="49" t="s">
        <v>216</v>
      </c>
      <c r="O212" s="496"/>
      <c r="P212" s="496"/>
      <c r="Q212" s="496"/>
      <c r="R212" s="496"/>
    </row>
    <row r="213" spans="1:18" ht="15.75" x14ac:dyDescent="0.25">
      <c r="A213" s="50"/>
      <c r="B213" s="312" t="s">
        <v>547</v>
      </c>
      <c r="C213" s="396">
        <v>3</v>
      </c>
      <c r="D213" s="51">
        <f>+'kardex reactivos 3'!G321</f>
        <v>0.16950000000000001</v>
      </c>
      <c r="E213" s="51">
        <f>+C213*D213</f>
        <v>0.50850000000000006</v>
      </c>
      <c r="F213" s="37"/>
      <c r="G213" s="37"/>
      <c r="H213" s="37">
        <f>+'Minutos MOD por exmen '!C14</f>
        <v>1.0833333333333333</v>
      </c>
      <c r="I213" s="100">
        <f>+'tasa MOD '!I37</f>
        <v>4.4725192584766118</v>
      </c>
      <c r="J213" s="37">
        <f>+I213*H213</f>
        <v>4.8452291966829959</v>
      </c>
      <c r="K213" s="37"/>
      <c r="L213" s="37">
        <f>+J222</f>
        <v>4.8452291966829959</v>
      </c>
      <c r="M213" s="109">
        <f>+'tasa cif'!G9</f>
        <v>0.76985269116945931</v>
      </c>
      <c r="N213" s="37">
        <f>+L213*M213</f>
        <v>3.7301127363992417</v>
      </c>
      <c r="O213" s="505" t="s">
        <v>225</v>
      </c>
      <c r="P213" s="505"/>
      <c r="Q213" s="35">
        <f>+E222</f>
        <v>2.3642733333333332</v>
      </c>
      <c r="R213" s="38"/>
    </row>
    <row r="214" spans="1:18" ht="15.75" x14ac:dyDescent="0.25">
      <c r="A214" s="50"/>
      <c r="B214" s="14" t="s">
        <v>233</v>
      </c>
      <c r="C214" s="396">
        <v>1</v>
      </c>
      <c r="D214" s="51">
        <f>+'kardex reactivos 1'!G330</f>
        <v>5.340000000000001E-2</v>
      </c>
      <c r="E214" s="51">
        <f>+C214*D214</f>
        <v>5.340000000000001E-2</v>
      </c>
      <c r="F214" s="37"/>
      <c r="G214" s="37"/>
      <c r="H214" s="37"/>
      <c r="I214" s="37"/>
      <c r="J214" s="37"/>
      <c r="K214" s="37"/>
      <c r="L214" s="37"/>
      <c r="M214" s="37"/>
      <c r="N214" s="37"/>
      <c r="O214" s="505" t="s">
        <v>226</v>
      </c>
      <c r="P214" s="505"/>
      <c r="Q214">
        <f>+J222</f>
        <v>4.8452291966829959</v>
      </c>
      <c r="R214" s="38"/>
    </row>
    <row r="215" spans="1:18" ht="15.75" x14ac:dyDescent="0.25">
      <c r="A215" s="50"/>
      <c r="B215" s="14" t="s">
        <v>544</v>
      </c>
      <c r="C215" s="396">
        <v>1</v>
      </c>
      <c r="D215" s="51">
        <f>+'kardex reactivos 1'!G352</f>
        <v>3.4979999999999983E-2</v>
      </c>
      <c r="E215" s="51">
        <f>+C215*D215</f>
        <v>3.4979999999999983E-2</v>
      </c>
      <c r="F215" s="37"/>
      <c r="G215" s="37"/>
      <c r="H215" s="37"/>
      <c r="I215" s="37"/>
      <c r="J215" s="37"/>
      <c r="K215" s="37"/>
      <c r="L215" s="37"/>
      <c r="M215" s="37"/>
      <c r="N215" s="37"/>
      <c r="O215" s="43" t="s">
        <v>227</v>
      </c>
      <c r="P215" s="331"/>
      <c r="Q215">
        <f>+N222</f>
        <v>3.7301127363992417</v>
      </c>
      <c r="R215" s="38"/>
    </row>
    <row r="216" spans="1:18" ht="16.5" thickBot="1" x14ac:dyDescent="0.3">
      <c r="A216" s="50"/>
      <c r="B216" s="14" t="s">
        <v>98</v>
      </c>
      <c r="C216" s="396">
        <v>1</v>
      </c>
      <c r="D216" s="51">
        <f>+'kardex reactivos 1'!G374</f>
        <v>2.8859999999999997E-2</v>
      </c>
      <c r="E216" s="51">
        <f t="shared" ref="E216:E220" si="8">+C216*D216</f>
        <v>2.8859999999999997E-2</v>
      </c>
      <c r="F216" s="37"/>
      <c r="G216" s="37"/>
      <c r="H216" s="37"/>
      <c r="I216" s="37"/>
      <c r="J216" s="37"/>
      <c r="K216" s="37"/>
      <c r="L216" s="37"/>
      <c r="M216" s="37"/>
      <c r="N216" s="37"/>
      <c r="O216" s="43"/>
      <c r="P216" s="331"/>
      <c r="Q216" s="356">
        <f>SUM(Q213:Q215)</f>
        <v>10.93961526641557</v>
      </c>
      <c r="R216" s="38"/>
    </row>
    <row r="217" spans="1:18" ht="16.5" thickTop="1" x14ac:dyDescent="0.25">
      <c r="A217" s="50"/>
      <c r="B217" s="14" t="s">
        <v>99</v>
      </c>
      <c r="C217" s="396">
        <v>1.5</v>
      </c>
      <c r="D217" s="51">
        <f>+'kardex reactivos 1'!G399</f>
        <v>3.7999999999999992E-2</v>
      </c>
      <c r="E217" s="51">
        <f t="shared" si="8"/>
        <v>5.6999999999999988E-2</v>
      </c>
      <c r="F217" s="37"/>
      <c r="G217" s="37"/>
      <c r="H217" s="37"/>
      <c r="I217" s="37"/>
      <c r="J217" s="37"/>
      <c r="K217" s="37"/>
      <c r="L217" s="37"/>
      <c r="M217" s="37"/>
      <c r="N217" s="37"/>
      <c r="O217" s="43"/>
      <c r="P217" s="331"/>
      <c r="R217" s="38"/>
    </row>
    <row r="218" spans="1:18" ht="15.75" x14ac:dyDescent="0.25">
      <c r="A218" s="50"/>
      <c r="B218" s="14" t="s">
        <v>113</v>
      </c>
      <c r="C218" s="396">
        <v>2</v>
      </c>
      <c r="D218" s="51">
        <f>+'kardex reactivos 2'!G22</f>
        <v>0.48249999999999998</v>
      </c>
      <c r="E218" s="51">
        <f t="shared" si="8"/>
        <v>0.96499999999999997</v>
      </c>
      <c r="F218" s="37"/>
      <c r="G218" s="37"/>
      <c r="H218" s="37"/>
      <c r="I218" s="37"/>
      <c r="J218" s="37"/>
      <c r="K218" s="37"/>
      <c r="L218" s="37"/>
      <c r="M218" s="37"/>
      <c r="N218" s="37"/>
      <c r="O218" s="43"/>
      <c r="P218" s="331"/>
      <c r="R218" s="38"/>
    </row>
    <row r="219" spans="1:18" ht="15.75" x14ac:dyDescent="0.25">
      <c r="A219" s="50"/>
      <c r="B219" s="14" t="s">
        <v>235</v>
      </c>
      <c r="C219" s="396">
        <v>1</v>
      </c>
      <c r="D219" s="51">
        <f>+'kardex reactivos 1'!G434</f>
        <v>8.2959999999999992E-2</v>
      </c>
      <c r="E219" s="51">
        <f t="shared" si="8"/>
        <v>8.2959999999999992E-2</v>
      </c>
      <c r="F219" s="37"/>
      <c r="G219" s="37"/>
      <c r="H219" s="37"/>
      <c r="I219" s="37"/>
      <c r="J219" s="37"/>
      <c r="K219" s="37"/>
      <c r="L219" s="37"/>
      <c r="M219" s="37"/>
      <c r="N219" s="37"/>
      <c r="O219" s="43"/>
      <c r="P219" s="331"/>
      <c r="R219" s="38"/>
    </row>
    <row r="220" spans="1:18" ht="15.75" x14ac:dyDescent="0.25">
      <c r="A220" s="50"/>
      <c r="B220" s="312" t="s">
        <v>548</v>
      </c>
      <c r="C220" s="396">
        <v>2.5</v>
      </c>
      <c r="D220" s="51">
        <f>+'kardex reactivos 1'!G479</f>
        <v>0.245</v>
      </c>
      <c r="E220" s="51">
        <f t="shared" si="8"/>
        <v>0.61250000000000004</v>
      </c>
      <c r="F220" s="37"/>
      <c r="G220" s="37"/>
      <c r="H220" s="37"/>
      <c r="I220" s="37"/>
      <c r="J220" s="37"/>
      <c r="K220" s="37"/>
      <c r="L220" s="37"/>
      <c r="M220" s="37"/>
      <c r="N220" s="37"/>
      <c r="O220" s="43"/>
      <c r="P220" s="331"/>
      <c r="R220" s="38"/>
    </row>
    <row r="221" spans="1:18" ht="15.75" x14ac:dyDescent="0.25">
      <c r="A221" s="50"/>
      <c r="B221" s="14" t="s">
        <v>93</v>
      </c>
      <c r="C221" s="396">
        <v>0.5</v>
      </c>
      <c r="D221" s="51">
        <f>+'kardex reactivos 1'!G277</f>
        <v>4.2146666666666666E-2</v>
      </c>
      <c r="E221" s="51">
        <f>+C221*D221</f>
        <v>2.1073333333333333E-2</v>
      </c>
      <c r="F221" s="37"/>
      <c r="G221" s="37"/>
      <c r="H221" s="37"/>
      <c r="I221" s="37"/>
      <c r="J221" s="37"/>
      <c r="K221" s="37"/>
      <c r="L221" s="37"/>
      <c r="M221" s="37"/>
      <c r="N221" s="37"/>
      <c r="O221" s="43"/>
      <c r="P221" s="331"/>
      <c r="R221" s="38"/>
    </row>
    <row r="222" spans="1:18" ht="15.75" x14ac:dyDescent="0.25">
      <c r="A222" s="489" t="s">
        <v>220</v>
      </c>
      <c r="B222" s="489"/>
      <c r="C222" s="489"/>
      <c r="D222" s="489"/>
      <c r="E222" s="52">
        <f>SUM(E213:E221)</f>
        <v>2.3642733333333332</v>
      </c>
      <c r="F222" s="37"/>
      <c r="G222" s="37"/>
      <c r="H222" s="489" t="s">
        <v>220</v>
      </c>
      <c r="I222" s="489"/>
      <c r="J222" s="53">
        <f>+J213</f>
        <v>4.8452291966829959</v>
      </c>
      <c r="K222" s="37"/>
      <c r="L222" s="37"/>
      <c r="M222" s="37"/>
      <c r="N222" s="37">
        <f>+N213</f>
        <v>3.7301127363992417</v>
      </c>
      <c r="O222" s="490"/>
      <c r="P222" s="491"/>
      <c r="Q222" s="367"/>
      <c r="R222" s="357"/>
    </row>
    <row r="225" spans="1:18" ht="15.75" x14ac:dyDescent="0.25">
      <c r="A225" s="506" t="s">
        <v>208</v>
      </c>
      <c r="B225" s="507"/>
      <c r="C225" s="507"/>
      <c r="D225" s="507"/>
      <c r="E225" s="507"/>
      <c r="F225" s="507"/>
      <c r="G225" s="507"/>
      <c r="H225" s="507"/>
      <c r="I225" s="507"/>
      <c r="J225" s="507"/>
      <c r="K225" s="507"/>
      <c r="L225" s="507"/>
      <c r="M225" s="507"/>
      <c r="N225" s="507"/>
      <c r="O225" s="507"/>
      <c r="P225" s="507"/>
      <c r="Q225" s="507"/>
      <c r="R225" s="508"/>
    </row>
    <row r="226" spans="1:18" ht="15.75" x14ac:dyDescent="0.25">
      <c r="A226" s="333" t="s">
        <v>209</v>
      </c>
      <c r="B226" s="332"/>
      <c r="C226" s="39"/>
      <c r="D226" s="55"/>
      <c r="E226" s="39"/>
      <c r="F226" s="39"/>
      <c r="G226" s="39"/>
      <c r="H226" s="494"/>
      <c r="I226" s="494"/>
      <c r="J226" s="494"/>
      <c r="K226" s="39"/>
      <c r="L226" s="39"/>
      <c r="M226" s="39"/>
      <c r="N226" s="39"/>
      <c r="O226" s="39"/>
      <c r="P226" s="39"/>
      <c r="Q226" s="39"/>
      <c r="R226" s="42"/>
    </row>
    <row r="227" spans="1:18" ht="15.75" x14ac:dyDescent="0.25">
      <c r="A227" s="333" t="s">
        <v>228</v>
      </c>
      <c r="B227" s="493" t="s">
        <v>550</v>
      </c>
      <c r="C227" s="493"/>
      <c r="D227" s="55"/>
      <c r="E227" s="39"/>
      <c r="F227" s="39"/>
      <c r="G227" s="39"/>
      <c r="H227" s="494"/>
      <c r="I227" s="494"/>
      <c r="J227" s="494"/>
      <c r="K227" s="39"/>
      <c r="L227" s="39"/>
      <c r="M227" s="39"/>
      <c r="N227" s="39"/>
      <c r="O227" s="39"/>
      <c r="P227" s="39"/>
      <c r="Q227" s="39"/>
      <c r="R227" s="42"/>
    </row>
    <row r="228" spans="1:18" ht="15.75" x14ac:dyDescent="0.25">
      <c r="A228" s="492" t="s">
        <v>210</v>
      </c>
      <c r="B228" s="493"/>
      <c r="C228" s="332"/>
      <c r="D228" s="56"/>
      <c r="E228" s="39"/>
      <c r="F228" s="39"/>
      <c r="G228" s="39"/>
      <c r="H228" s="494"/>
      <c r="I228" s="494"/>
      <c r="J228" s="494"/>
      <c r="K228" s="39"/>
      <c r="L228" s="39"/>
      <c r="M228" s="39"/>
      <c r="N228" s="39"/>
      <c r="O228" s="39"/>
      <c r="P228" s="39"/>
      <c r="Q228" s="39"/>
      <c r="R228" s="42"/>
    </row>
    <row r="229" spans="1:18" ht="15.75" x14ac:dyDescent="0.25">
      <c r="A229" s="495" t="s">
        <v>211</v>
      </c>
      <c r="B229" s="494"/>
      <c r="C229" s="494"/>
      <c r="D229" s="55"/>
      <c r="E229" s="39"/>
      <c r="F229" s="39"/>
      <c r="G229" s="39"/>
      <c r="H229" s="494"/>
      <c r="I229" s="494"/>
      <c r="J229" s="494"/>
      <c r="K229" s="39"/>
      <c r="L229" s="39"/>
      <c r="M229" s="39"/>
      <c r="N229" s="39"/>
      <c r="O229" s="39"/>
      <c r="P229" s="39"/>
      <c r="Q229" s="39"/>
      <c r="R229" s="42"/>
    </row>
    <row r="230" spans="1:18" ht="15.75" x14ac:dyDescent="0.25">
      <c r="A230" s="496" t="s">
        <v>212</v>
      </c>
      <c r="B230" s="496"/>
      <c r="C230" s="496"/>
      <c r="D230" s="496"/>
      <c r="E230" s="496"/>
      <c r="F230" s="496" t="s">
        <v>213</v>
      </c>
      <c r="G230" s="496"/>
      <c r="H230" s="496"/>
      <c r="I230" s="496"/>
      <c r="J230" s="496"/>
      <c r="K230" s="497" t="s">
        <v>221</v>
      </c>
      <c r="L230" s="497"/>
      <c r="M230" s="497"/>
      <c r="N230" s="497"/>
      <c r="O230" s="496" t="s">
        <v>222</v>
      </c>
      <c r="P230" s="496"/>
      <c r="Q230" s="496"/>
      <c r="R230" s="496"/>
    </row>
    <row r="231" spans="1:18" ht="31.5" x14ac:dyDescent="0.25">
      <c r="A231" s="334" t="s">
        <v>0</v>
      </c>
      <c r="B231" s="334" t="s">
        <v>1</v>
      </c>
      <c r="C231" s="334" t="s">
        <v>214</v>
      </c>
      <c r="D231" s="57" t="s">
        <v>215</v>
      </c>
      <c r="E231" s="49" t="s">
        <v>216</v>
      </c>
      <c r="F231" s="334" t="s">
        <v>0</v>
      </c>
      <c r="G231" s="49" t="s">
        <v>217</v>
      </c>
      <c r="H231" s="334" t="s">
        <v>218</v>
      </c>
      <c r="I231" s="49" t="s">
        <v>219</v>
      </c>
      <c r="J231" s="49" t="s">
        <v>216</v>
      </c>
      <c r="K231" s="334" t="s">
        <v>0</v>
      </c>
      <c r="L231" s="49" t="s">
        <v>321</v>
      </c>
      <c r="M231" s="49" t="s">
        <v>224</v>
      </c>
      <c r="N231" s="49" t="s">
        <v>216</v>
      </c>
      <c r="O231" s="496"/>
      <c r="P231" s="496"/>
      <c r="Q231" s="496"/>
      <c r="R231" s="496"/>
    </row>
    <row r="232" spans="1:18" ht="15.75" x14ac:dyDescent="0.25">
      <c r="A232" s="50"/>
      <c r="B232" s="14" t="s">
        <v>184</v>
      </c>
      <c r="C232" s="396">
        <v>1</v>
      </c>
      <c r="D232" s="51">
        <f>+'kardex reactivos 3'!G280</f>
        <v>2.512E-2</v>
      </c>
      <c r="E232" s="51">
        <f>+C232*D232</f>
        <v>2.512E-2</v>
      </c>
      <c r="F232" s="37"/>
      <c r="G232" s="37"/>
      <c r="H232" s="37">
        <f>+'Minutos MOD por exmen '!C15</f>
        <v>0.25</v>
      </c>
      <c r="I232" s="100">
        <f>+'tasa MOD '!I37</f>
        <v>4.4725192584766118</v>
      </c>
      <c r="J232" s="37">
        <f>+I232*H232</f>
        <v>1.118129814619153</v>
      </c>
      <c r="K232" s="37"/>
      <c r="L232" s="37">
        <f>+J236</f>
        <v>1.118129814619153</v>
      </c>
      <c r="M232" s="109">
        <f>+'tasa cif'!G9</f>
        <v>0.76985269116945931</v>
      </c>
      <c r="N232" s="37">
        <f>+L232*M232</f>
        <v>0.86079524686136355</v>
      </c>
      <c r="O232" s="505" t="s">
        <v>225</v>
      </c>
      <c r="P232" s="505"/>
      <c r="Q232" s="35">
        <f>+E236</f>
        <v>0.10466999999999999</v>
      </c>
      <c r="R232" s="38"/>
    </row>
    <row r="233" spans="1:18" ht="15.75" x14ac:dyDescent="0.25">
      <c r="A233" s="50"/>
      <c r="B233" s="14" t="s">
        <v>241</v>
      </c>
      <c r="C233" s="396">
        <v>1</v>
      </c>
      <c r="D233" s="51">
        <f>+'kardex reactivos 3'!G207</f>
        <v>2.955E-2</v>
      </c>
      <c r="E233" s="51">
        <f>+C233*D233</f>
        <v>2.955E-2</v>
      </c>
      <c r="F233" s="37"/>
      <c r="G233" s="37"/>
      <c r="H233" s="37"/>
      <c r="I233" s="37"/>
      <c r="J233" s="37"/>
      <c r="K233" s="37"/>
      <c r="L233" s="37"/>
      <c r="M233" s="37"/>
      <c r="N233" s="37"/>
      <c r="O233" s="505" t="s">
        <v>226</v>
      </c>
      <c r="P233" s="505"/>
      <c r="Q233">
        <f>+J236</f>
        <v>1.118129814619153</v>
      </c>
      <c r="R233" s="38"/>
    </row>
    <row r="234" spans="1:18" ht="15.75" x14ac:dyDescent="0.25">
      <c r="A234" s="50"/>
      <c r="B234" s="14" t="s">
        <v>120</v>
      </c>
      <c r="C234" s="396">
        <v>1</v>
      </c>
      <c r="D234" s="51">
        <f>+'kardex reactivos 2'!G115</f>
        <v>4.9999999999999996E-2</v>
      </c>
      <c r="E234" s="51">
        <f>+C234*D234</f>
        <v>4.9999999999999996E-2</v>
      </c>
      <c r="F234" s="37"/>
      <c r="G234" s="37"/>
      <c r="H234" s="37"/>
      <c r="I234" s="37"/>
      <c r="J234" s="37"/>
      <c r="K234" s="37"/>
      <c r="L234" s="37"/>
      <c r="M234" s="37"/>
      <c r="N234" s="37"/>
      <c r="O234" s="43" t="s">
        <v>227</v>
      </c>
      <c r="P234" s="331"/>
      <c r="Q234">
        <f>+N236</f>
        <v>0.86079524686136355</v>
      </c>
      <c r="R234" s="38"/>
    </row>
    <row r="235" spans="1:18" ht="16.5" thickBot="1" x14ac:dyDescent="0.3">
      <c r="A235" s="50"/>
      <c r="B235" s="14"/>
      <c r="C235" s="330"/>
      <c r="D235" s="51"/>
      <c r="E235" s="51">
        <f t="shared" ref="E235" si="9">+C235*D235</f>
        <v>0</v>
      </c>
      <c r="F235" s="37"/>
      <c r="G235" s="37"/>
      <c r="H235" s="37"/>
      <c r="I235" s="37"/>
      <c r="J235" s="37"/>
      <c r="K235" s="37"/>
      <c r="L235" s="37"/>
      <c r="M235" s="37"/>
      <c r="N235" s="37"/>
      <c r="O235" s="43"/>
      <c r="P235" s="331"/>
      <c r="Q235" s="356">
        <f>SUM(Q232:Q234)</f>
        <v>2.0835950614805165</v>
      </c>
      <c r="R235" s="38"/>
    </row>
    <row r="236" spans="1:18" ht="16.5" thickTop="1" x14ac:dyDescent="0.25">
      <c r="A236" s="489" t="s">
        <v>220</v>
      </c>
      <c r="B236" s="489"/>
      <c r="C236" s="489"/>
      <c r="D236" s="489"/>
      <c r="E236" s="52">
        <f>SUM(E232:E235)</f>
        <v>0.10466999999999999</v>
      </c>
      <c r="F236" s="37"/>
      <c r="G236" s="37"/>
      <c r="H236" s="489" t="s">
        <v>220</v>
      </c>
      <c r="I236" s="489"/>
      <c r="J236" s="53">
        <f>+J232</f>
        <v>1.118129814619153</v>
      </c>
      <c r="K236" s="37"/>
      <c r="L236" s="37"/>
      <c r="M236" s="37"/>
      <c r="N236" s="37">
        <f>+N232</f>
        <v>0.86079524686136355</v>
      </c>
      <c r="O236" s="490"/>
      <c r="P236" s="491"/>
      <c r="Q236" s="367"/>
      <c r="R236" s="357"/>
    </row>
    <row r="239" spans="1:18" ht="15.75" x14ac:dyDescent="0.25">
      <c r="A239" s="506" t="s">
        <v>208</v>
      </c>
      <c r="B239" s="507"/>
      <c r="C239" s="507"/>
      <c r="D239" s="507"/>
      <c r="E239" s="507"/>
      <c r="F239" s="507"/>
      <c r="G239" s="507"/>
      <c r="H239" s="507"/>
      <c r="I239" s="507"/>
      <c r="J239" s="507"/>
      <c r="K239" s="507"/>
      <c r="L239" s="507"/>
      <c r="M239" s="507"/>
      <c r="N239" s="507"/>
      <c r="O239" s="507"/>
      <c r="P239" s="507"/>
      <c r="Q239" s="507"/>
      <c r="R239" s="508"/>
    </row>
    <row r="240" spans="1:18" ht="15.75" x14ac:dyDescent="0.25">
      <c r="A240" s="333" t="s">
        <v>209</v>
      </c>
      <c r="B240" s="332"/>
      <c r="C240" s="39"/>
      <c r="D240" s="55"/>
      <c r="E240" s="39"/>
      <c r="F240" s="39"/>
      <c r="G240" s="39"/>
      <c r="H240" s="494"/>
      <c r="I240" s="494"/>
      <c r="J240" s="494"/>
      <c r="K240" s="39"/>
      <c r="L240" s="39"/>
      <c r="M240" s="39"/>
      <c r="N240" s="39"/>
      <c r="O240" s="39"/>
      <c r="P240" s="39"/>
      <c r="Q240" s="39"/>
      <c r="R240" s="42"/>
    </row>
    <row r="241" spans="1:18" ht="15.75" x14ac:dyDescent="0.25">
      <c r="A241" s="333" t="s">
        <v>228</v>
      </c>
      <c r="B241" s="493" t="s">
        <v>552</v>
      </c>
      <c r="C241" s="493"/>
      <c r="D241" s="55"/>
      <c r="E241" s="39"/>
      <c r="F241" s="39"/>
      <c r="G241" s="39"/>
      <c r="H241" s="494"/>
      <c r="I241" s="494"/>
      <c r="J241" s="494"/>
      <c r="K241" s="39"/>
      <c r="L241" s="39"/>
      <c r="M241" s="39"/>
      <c r="N241" s="39"/>
      <c r="O241" s="39"/>
      <c r="P241" s="39"/>
      <c r="Q241" s="39"/>
      <c r="R241" s="42"/>
    </row>
    <row r="242" spans="1:18" ht="15.75" x14ac:dyDescent="0.25">
      <c r="A242" s="492" t="s">
        <v>210</v>
      </c>
      <c r="B242" s="493"/>
      <c r="C242" s="332"/>
      <c r="D242" s="56"/>
      <c r="E242" s="39"/>
      <c r="F242" s="39"/>
      <c r="G242" s="39"/>
      <c r="H242" s="494"/>
      <c r="I242" s="494"/>
      <c r="J242" s="494"/>
      <c r="K242" s="39"/>
      <c r="L242" s="39"/>
      <c r="M242" s="39"/>
      <c r="N242" s="39"/>
      <c r="O242" s="39"/>
      <c r="P242" s="39"/>
      <c r="Q242" s="39"/>
      <c r="R242" s="42"/>
    </row>
    <row r="243" spans="1:18" ht="15.75" x14ac:dyDescent="0.25">
      <c r="A243" s="495" t="s">
        <v>211</v>
      </c>
      <c r="B243" s="494"/>
      <c r="C243" s="494"/>
      <c r="D243" s="55"/>
      <c r="E243" s="39"/>
      <c r="F243" s="39"/>
      <c r="G243" s="39"/>
      <c r="H243" s="494"/>
      <c r="I243" s="494"/>
      <c r="J243" s="494"/>
      <c r="K243" s="39"/>
      <c r="L243" s="39"/>
      <c r="M243" s="39"/>
      <c r="N243" s="39"/>
      <c r="O243" s="39"/>
      <c r="P243" s="39"/>
      <c r="Q243" s="39"/>
      <c r="R243" s="42"/>
    </row>
    <row r="244" spans="1:18" ht="15.75" x14ac:dyDescent="0.25">
      <c r="A244" s="496" t="s">
        <v>212</v>
      </c>
      <c r="B244" s="496"/>
      <c r="C244" s="496"/>
      <c r="D244" s="496"/>
      <c r="E244" s="496"/>
      <c r="F244" s="496" t="s">
        <v>213</v>
      </c>
      <c r="G244" s="496"/>
      <c r="H244" s="496"/>
      <c r="I244" s="496"/>
      <c r="J244" s="496"/>
      <c r="K244" s="497" t="s">
        <v>221</v>
      </c>
      <c r="L244" s="497"/>
      <c r="M244" s="497"/>
      <c r="N244" s="497"/>
      <c r="O244" s="496" t="s">
        <v>222</v>
      </c>
      <c r="P244" s="496"/>
      <c r="Q244" s="496"/>
      <c r="R244" s="496"/>
    </row>
    <row r="245" spans="1:18" ht="31.5" x14ac:dyDescent="0.25">
      <c r="A245" s="334" t="s">
        <v>0</v>
      </c>
      <c r="B245" s="334" t="s">
        <v>1</v>
      </c>
      <c r="C245" s="334" t="s">
        <v>214</v>
      </c>
      <c r="D245" s="57" t="s">
        <v>215</v>
      </c>
      <c r="E245" s="49" t="s">
        <v>216</v>
      </c>
      <c r="F245" s="334" t="s">
        <v>0</v>
      </c>
      <c r="G245" s="49" t="s">
        <v>217</v>
      </c>
      <c r="H245" s="334" t="s">
        <v>218</v>
      </c>
      <c r="I245" s="49" t="s">
        <v>219</v>
      </c>
      <c r="J245" s="49" t="s">
        <v>216</v>
      </c>
      <c r="K245" s="334" t="s">
        <v>0</v>
      </c>
      <c r="L245" s="49" t="s">
        <v>321</v>
      </c>
      <c r="M245" s="49" t="s">
        <v>224</v>
      </c>
      <c r="N245" s="49" t="s">
        <v>216</v>
      </c>
      <c r="O245" s="496"/>
      <c r="P245" s="496"/>
      <c r="Q245" s="496"/>
      <c r="R245" s="496"/>
    </row>
    <row r="246" spans="1:18" ht="15.75" x14ac:dyDescent="0.25">
      <c r="A246" s="50"/>
      <c r="B246" s="14" t="s">
        <v>86</v>
      </c>
      <c r="C246" s="396">
        <v>0.5</v>
      </c>
      <c r="D246" s="51">
        <f>+'kardex reactivos 1'!G161</f>
        <v>4.1119999999999997E-2</v>
      </c>
      <c r="E246" s="51">
        <f>+C246*D246</f>
        <v>2.0559999999999998E-2</v>
      </c>
      <c r="F246" s="37"/>
      <c r="G246" s="37"/>
      <c r="H246" s="37">
        <f>+'Minutos MOD por exmen '!C16</f>
        <v>0.2</v>
      </c>
      <c r="I246" s="100">
        <f>+'tasa MOD '!I37</f>
        <v>4.4725192584766118</v>
      </c>
      <c r="J246" s="37">
        <f>+I246*H246</f>
        <v>0.89450385169532243</v>
      </c>
      <c r="K246" s="37"/>
      <c r="L246" s="37">
        <f>+J253</f>
        <v>0.89450385169532243</v>
      </c>
      <c r="M246" s="109">
        <f>+'tasa cif'!G9</f>
        <v>0.76985269116945931</v>
      </c>
      <c r="N246" s="37">
        <f>+L246*M246</f>
        <v>0.68863619748909088</v>
      </c>
      <c r="O246" s="505" t="s">
        <v>225</v>
      </c>
      <c r="P246" s="505"/>
      <c r="Q246" s="35">
        <f>+E253</f>
        <v>0.48405333333333334</v>
      </c>
      <c r="R246" s="38"/>
    </row>
    <row r="247" spans="1:18" ht="15.75" x14ac:dyDescent="0.25">
      <c r="A247" s="50"/>
      <c r="B247" s="14" t="s">
        <v>153</v>
      </c>
      <c r="C247" s="396">
        <v>3</v>
      </c>
      <c r="D247" s="51">
        <f>+'kardex reactivos 2'!G470</f>
        <v>4.2939999999999999E-2</v>
      </c>
      <c r="E247" s="51">
        <f>+C247*D247</f>
        <v>0.12881999999999999</v>
      </c>
      <c r="F247" s="37"/>
      <c r="G247" s="37"/>
      <c r="H247" s="37"/>
      <c r="I247" s="37"/>
      <c r="J247" s="37"/>
      <c r="K247" s="37"/>
      <c r="L247" s="37"/>
      <c r="M247" s="37"/>
      <c r="N247" s="37"/>
      <c r="O247" s="505" t="s">
        <v>226</v>
      </c>
      <c r="P247" s="505"/>
      <c r="Q247">
        <f>+J253</f>
        <v>0.89450385169532243</v>
      </c>
      <c r="R247" s="38"/>
    </row>
    <row r="248" spans="1:18" ht="15.75" x14ac:dyDescent="0.25">
      <c r="A248" s="50"/>
      <c r="B248" s="154" t="s">
        <v>229</v>
      </c>
      <c r="C248" s="396">
        <v>1</v>
      </c>
      <c r="D248" s="51">
        <f>+'kardex reactivos 1'!G197</f>
        <v>6.8000000000000005E-2</v>
      </c>
      <c r="E248" s="51">
        <f>+C248*D248</f>
        <v>6.8000000000000005E-2</v>
      </c>
      <c r="F248" s="37"/>
      <c r="G248" s="37"/>
      <c r="H248" s="37"/>
      <c r="I248" s="37"/>
      <c r="J248" s="37"/>
      <c r="K248" s="37"/>
      <c r="L248" s="37"/>
      <c r="M248" s="37"/>
      <c r="N248" s="37"/>
      <c r="O248" s="43" t="s">
        <v>227</v>
      </c>
      <c r="P248" s="331"/>
      <c r="Q248">
        <f>+N253</f>
        <v>0.68863619748909088</v>
      </c>
      <c r="R248" s="38"/>
    </row>
    <row r="249" spans="1:18" ht="16.5" thickBot="1" x14ac:dyDescent="0.3">
      <c r="A249" s="50"/>
      <c r="B249" s="303" t="s">
        <v>230</v>
      </c>
      <c r="C249" s="396">
        <v>1</v>
      </c>
      <c r="D249" s="51">
        <f>+'kardex reactivos 1'!G219</f>
        <v>6.8000000000000005E-2</v>
      </c>
      <c r="E249" s="51">
        <f t="shared" ref="E249:E252" si="10">+C249*D249</f>
        <v>6.8000000000000005E-2</v>
      </c>
      <c r="F249" s="37"/>
      <c r="G249" s="37"/>
      <c r="H249" s="37"/>
      <c r="I249" s="37"/>
      <c r="J249" s="37"/>
      <c r="K249" s="37"/>
      <c r="L249" s="37"/>
      <c r="M249" s="37"/>
      <c r="N249" s="37"/>
      <c r="O249" s="43"/>
      <c r="P249" s="331"/>
      <c r="Q249" s="356">
        <f>SUM(Q246:Q248)</f>
        <v>2.0671933825177469</v>
      </c>
      <c r="R249" s="38"/>
    </row>
    <row r="250" spans="1:18" ht="16.5" thickTop="1" x14ac:dyDescent="0.25">
      <c r="A250" s="50"/>
      <c r="B250" s="14" t="s">
        <v>154</v>
      </c>
      <c r="C250" s="396">
        <v>2</v>
      </c>
      <c r="D250" s="51">
        <f>+'kardex reactivos 2'!G483</f>
        <v>2.9600000000000001E-2</v>
      </c>
      <c r="E250" s="51">
        <f t="shared" si="10"/>
        <v>5.9200000000000003E-2</v>
      </c>
      <c r="F250" s="37"/>
      <c r="G250" s="37"/>
      <c r="H250" s="37"/>
      <c r="I250" s="37"/>
      <c r="J250" s="37"/>
      <c r="K250" s="37"/>
      <c r="L250" s="37"/>
      <c r="M250" s="37"/>
      <c r="N250" s="37"/>
      <c r="O250" s="43"/>
      <c r="P250" s="331"/>
      <c r="R250" s="38"/>
    </row>
    <row r="251" spans="1:18" ht="15.75" x14ac:dyDescent="0.25">
      <c r="A251" s="50"/>
      <c r="B251" s="312" t="s">
        <v>155</v>
      </c>
      <c r="C251" s="396">
        <v>4</v>
      </c>
      <c r="D251" s="51">
        <f>+'kardex reactivos 2'!G496</f>
        <v>2.9600000000000001E-2</v>
      </c>
      <c r="E251" s="51">
        <f t="shared" si="10"/>
        <v>0.11840000000000001</v>
      </c>
      <c r="F251" s="37"/>
      <c r="G251" s="37"/>
      <c r="H251" s="37"/>
      <c r="I251" s="37"/>
      <c r="J251" s="37"/>
      <c r="K251" s="37"/>
      <c r="L251" s="37"/>
      <c r="M251" s="37"/>
      <c r="N251" s="37"/>
      <c r="O251" s="43"/>
      <c r="P251" s="331"/>
      <c r="R251" s="38"/>
    </row>
    <row r="252" spans="1:18" ht="15.75" x14ac:dyDescent="0.25">
      <c r="A252" s="50"/>
      <c r="B252" s="14" t="s">
        <v>93</v>
      </c>
      <c r="C252" s="396">
        <v>0.5</v>
      </c>
      <c r="D252" s="51">
        <f>+'kardex reactivos 1'!G278</f>
        <v>4.2146666666666666E-2</v>
      </c>
      <c r="E252" s="51">
        <f t="shared" si="10"/>
        <v>2.1073333333333333E-2</v>
      </c>
      <c r="F252" s="37"/>
      <c r="G252" s="37"/>
      <c r="H252" s="37"/>
      <c r="I252" s="37"/>
      <c r="J252" s="37"/>
      <c r="K252" s="37"/>
      <c r="L252" s="37"/>
      <c r="M252" s="37"/>
      <c r="N252" s="37"/>
      <c r="O252" s="43"/>
      <c r="P252" s="331"/>
      <c r="R252" s="38"/>
    </row>
    <row r="253" spans="1:18" ht="15.75" x14ac:dyDescent="0.25">
      <c r="A253" s="489" t="s">
        <v>220</v>
      </c>
      <c r="B253" s="489"/>
      <c r="C253" s="489"/>
      <c r="D253" s="489"/>
      <c r="E253" s="52">
        <f>SUM(E246:E252)</f>
        <v>0.48405333333333334</v>
      </c>
      <c r="F253" s="37"/>
      <c r="G253" s="37"/>
      <c r="H253" s="489" t="s">
        <v>220</v>
      </c>
      <c r="I253" s="489"/>
      <c r="J253" s="53">
        <f>+J246</f>
        <v>0.89450385169532243</v>
      </c>
      <c r="K253" s="37"/>
      <c r="L253" s="37"/>
      <c r="M253" s="37"/>
      <c r="N253" s="37">
        <f>+N246</f>
        <v>0.68863619748909088</v>
      </c>
      <c r="O253" s="490"/>
      <c r="P253" s="491"/>
      <c r="Q253" s="367"/>
      <c r="R253" s="357"/>
    </row>
    <row r="256" spans="1:18" ht="15.75" x14ac:dyDescent="0.25">
      <c r="A256" s="506" t="s">
        <v>208</v>
      </c>
      <c r="B256" s="507"/>
      <c r="C256" s="507"/>
      <c r="D256" s="507"/>
      <c r="E256" s="507"/>
      <c r="F256" s="507"/>
      <c r="G256" s="507"/>
      <c r="H256" s="507"/>
      <c r="I256" s="507"/>
      <c r="J256" s="507"/>
      <c r="K256" s="507"/>
      <c r="L256" s="507"/>
      <c r="M256" s="507"/>
      <c r="N256" s="507"/>
      <c r="O256" s="507"/>
      <c r="P256" s="507"/>
      <c r="Q256" s="507"/>
      <c r="R256" s="508"/>
    </row>
    <row r="257" spans="1:18" ht="15.75" x14ac:dyDescent="0.25">
      <c r="A257" s="333" t="s">
        <v>209</v>
      </c>
      <c r="B257" s="332"/>
      <c r="C257" s="39"/>
      <c r="D257" s="55"/>
      <c r="E257" s="39"/>
      <c r="F257" s="39"/>
      <c r="G257" s="39"/>
      <c r="H257" s="494"/>
      <c r="I257" s="494"/>
      <c r="J257" s="494"/>
      <c r="K257" s="39"/>
      <c r="L257" s="39"/>
      <c r="M257" s="39"/>
      <c r="N257" s="39"/>
      <c r="O257" s="39"/>
      <c r="P257" s="39"/>
      <c r="Q257" s="39"/>
      <c r="R257" s="42"/>
    </row>
    <row r="258" spans="1:18" ht="15.75" x14ac:dyDescent="0.25">
      <c r="A258" s="333" t="s">
        <v>228</v>
      </c>
      <c r="B258" s="493" t="s">
        <v>554</v>
      </c>
      <c r="C258" s="493"/>
      <c r="D258" s="55"/>
      <c r="E258" s="39"/>
      <c r="F258" s="39"/>
      <c r="G258" s="39"/>
      <c r="H258" s="494"/>
      <c r="I258" s="494"/>
      <c r="J258" s="494"/>
      <c r="K258" s="39"/>
      <c r="L258" s="39"/>
      <c r="M258" s="39"/>
      <c r="N258" s="39"/>
      <c r="O258" s="39"/>
      <c r="P258" s="39"/>
      <c r="Q258" s="39"/>
      <c r="R258" s="42"/>
    </row>
    <row r="259" spans="1:18" ht="15.75" x14ac:dyDescent="0.25">
      <c r="A259" s="492" t="s">
        <v>210</v>
      </c>
      <c r="B259" s="493"/>
      <c r="C259" s="332"/>
      <c r="D259" s="56"/>
      <c r="E259" s="39"/>
      <c r="F259" s="39"/>
      <c r="G259" s="39"/>
      <c r="H259" s="494"/>
      <c r="I259" s="494"/>
      <c r="J259" s="494"/>
      <c r="K259" s="39"/>
      <c r="L259" s="39"/>
      <c r="M259" s="39"/>
      <c r="N259" s="39"/>
      <c r="O259" s="39"/>
      <c r="P259" s="39"/>
      <c r="Q259" s="39"/>
      <c r="R259" s="42"/>
    </row>
    <row r="260" spans="1:18" ht="15.75" x14ac:dyDescent="0.25">
      <c r="A260" s="495" t="s">
        <v>211</v>
      </c>
      <c r="B260" s="494"/>
      <c r="C260" s="494"/>
      <c r="D260" s="55"/>
      <c r="E260" s="39"/>
      <c r="F260" s="39"/>
      <c r="G260" s="39"/>
      <c r="H260" s="494"/>
      <c r="I260" s="494"/>
      <c r="J260" s="494"/>
      <c r="K260" s="39"/>
      <c r="L260" s="39"/>
      <c r="M260" s="39"/>
      <c r="N260" s="39"/>
      <c r="O260" s="39"/>
      <c r="P260" s="39"/>
      <c r="Q260" s="39"/>
      <c r="R260" s="42"/>
    </row>
    <row r="261" spans="1:18" ht="15.75" x14ac:dyDescent="0.25">
      <c r="A261" s="496" t="s">
        <v>212</v>
      </c>
      <c r="B261" s="496"/>
      <c r="C261" s="496"/>
      <c r="D261" s="496"/>
      <c r="E261" s="496"/>
      <c r="F261" s="496" t="s">
        <v>213</v>
      </c>
      <c r="G261" s="496"/>
      <c r="H261" s="496"/>
      <c r="I261" s="496"/>
      <c r="J261" s="496"/>
      <c r="K261" s="497" t="s">
        <v>221</v>
      </c>
      <c r="L261" s="497"/>
      <c r="M261" s="497"/>
      <c r="N261" s="497"/>
      <c r="O261" s="496" t="s">
        <v>222</v>
      </c>
      <c r="P261" s="496"/>
      <c r="Q261" s="496"/>
      <c r="R261" s="496"/>
    </row>
    <row r="262" spans="1:18" ht="31.5" x14ac:dyDescent="0.25">
      <c r="A262" s="334" t="s">
        <v>0</v>
      </c>
      <c r="B262" s="334" t="s">
        <v>1</v>
      </c>
      <c r="C262" s="334" t="s">
        <v>214</v>
      </c>
      <c r="D262" s="57" t="s">
        <v>215</v>
      </c>
      <c r="E262" s="49" t="s">
        <v>216</v>
      </c>
      <c r="F262" s="334" t="s">
        <v>0</v>
      </c>
      <c r="G262" s="49" t="s">
        <v>217</v>
      </c>
      <c r="H262" s="334" t="s">
        <v>218</v>
      </c>
      <c r="I262" s="49" t="s">
        <v>219</v>
      </c>
      <c r="J262" s="49" t="s">
        <v>216</v>
      </c>
      <c r="K262" s="334" t="s">
        <v>0</v>
      </c>
      <c r="L262" s="49" t="s">
        <v>321</v>
      </c>
      <c r="M262" s="49" t="s">
        <v>224</v>
      </c>
      <c r="N262" s="49" t="s">
        <v>216</v>
      </c>
      <c r="O262" s="496"/>
      <c r="P262" s="496"/>
      <c r="Q262" s="496"/>
      <c r="R262" s="496"/>
    </row>
    <row r="263" spans="1:18" ht="15.75" x14ac:dyDescent="0.25">
      <c r="A263" s="50"/>
      <c r="B263" s="303" t="s">
        <v>133</v>
      </c>
      <c r="C263" s="328">
        <v>1</v>
      </c>
      <c r="D263" s="51">
        <f>+'kardex reactivos 2'!G237</f>
        <v>1.02</v>
      </c>
      <c r="E263" s="51">
        <f>+C263*D263</f>
        <v>1.02</v>
      </c>
      <c r="F263" s="37"/>
      <c r="G263" s="37"/>
      <c r="H263" s="37">
        <f>+'Minutos MOD por exmen '!C17</f>
        <v>0.2</v>
      </c>
      <c r="I263" s="100">
        <f>+'tasa MOD '!I37</f>
        <v>4.4725192584766118</v>
      </c>
      <c r="J263" s="37">
        <f>+I263*H263</f>
        <v>0.89450385169532243</v>
      </c>
      <c r="K263" s="37"/>
      <c r="L263" s="37">
        <f>+J267</f>
        <v>0.89450385169532243</v>
      </c>
      <c r="M263" s="109">
        <f>+'tasa cif'!G9</f>
        <v>0.76985269116945931</v>
      </c>
      <c r="N263" s="37">
        <f>+L263*M263</f>
        <v>0.68863619748909088</v>
      </c>
      <c r="O263" s="505" t="s">
        <v>225</v>
      </c>
      <c r="P263" s="505"/>
      <c r="Q263" s="35">
        <f>+E267</f>
        <v>1.02</v>
      </c>
      <c r="R263" s="38"/>
    </row>
    <row r="264" spans="1:18" ht="15.75" x14ac:dyDescent="0.25">
      <c r="A264" s="50"/>
      <c r="B264" s="14"/>
      <c r="C264" s="330"/>
      <c r="D264" s="51">
        <f>+'kardex reactivos 2'!G487</f>
        <v>0</v>
      </c>
      <c r="E264" s="51">
        <f>+C264*D264</f>
        <v>0</v>
      </c>
      <c r="F264" s="37"/>
      <c r="G264" s="37"/>
      <c r="H264" s="37"/>
      <c r="I264" s="37"/>
      <c r="J264" s="37"/>
      <c r="K264" s="37"/>
      <c r="L264" s="37"/>
      <c r="M264" s="37"/>
      <c r="N264" s="37"/>
      <c r="O264" s="505" t="s">
        <v>226</v>
      </c>
      <c r="P264" s="505"/>
      <c r="Q264">
        <f>+J267</f>
        <v>0.89450385169532243</v>
      </c>
      <c r="R264" s="38"/>
    </row>
    <row r="265" spans="1:18" ht="15.75" x14ac:dyDescent="0.25">
      <c r="A265" s="50"/>
      <c r="B265" s="154"/>
      <c r="C265" s="330"/>
      <c r="D265" s="51">
        <f>+'kardex reactivos 1'!G221</f>
        <v>6.8000000000000005E-2</v>
      </c>
      <c r="E265" s="51">
        <f>+C265*D265</f>
        <v>0</v>
      </c>
      <c r="F265" s="37"/>
      <c r="G265" s="37"/>
      <c r="H265" s="37"/>
      <c r="I265" s="37"/>
      <c r="J265" s="37"/>
      <c r="K265" s="37"/>
      <c r="L265" s="37"/>
      <c r="M265" s="37"/>
      <c r="N265" s="37"/>
      <c r="O265" s="43" t="s">
        <v>227</v>
      </c>
      <c r="P265" s="331"/>
      <c r="Q265">
        <f>+N267</f>
        <v>0.68863619748909088</v>
      </c>
      <c r="R265" s="38"/>
    </row>
    <row r="266" spans="1:18" ht="16.5" thickBot="1" x14ac:dyDescent="0.3">
      <c r="A266" s="50"/>
      <c r="B266" s="303"/>
      <c r="C266" s="330"/>
      <c r="D266" s="51">
        <f>+'kardex reactivos 1'!G242</f>
        <v>0</v>
      </c>
      <c r="E266" s="51">
        <f t="shared" ref="E266" si="11">+C266*D266</f>
        <v>0</v>
      </c>
      <c r="F266" s="37"/>
      <c r="G266" s="37"/>
      <c r="H266" s="37"/>
      <c r="I266" s="37"/>
      <c r="J266" s="37"/>
      <c r="K266" s="37"/>
      <c r="L266" s="37"/>
      <c r="M266" s="37"/>
      <c r="N266" s="37"/>
      <c r="O266" s="43"/>
      <c r="P266" s="331"/>
      <c r="Q266" s="356">
        <f>SUM(Q263:Q265)</f>
        <v>2.6031400491844137</v>
      </c>
      <c r="R266" s="38"/>
    </row>
    <row r="267" spans="1:18" ht="16.5" thickTop="1" x14ac:dyDescent="0.25">
      <c r="A267" s="489" t="s">
        <v>220</v>
      </c>
      <c r="B267" s="489"/>
      <c r="C267" s="489"/>
      <c r="D267" s="489"/>
      <c r="E267" s="52">
        <f>SUM(E263:E266)</f>
        <v>1.02</v>
      </c>
      <c r="F267" s="37"/>
      <c r="G267" s="37"/>
      <c r="H267" s="489" t="s">
        <v>220</v>
      </c>
      <c r="I267" s="489"/>
      <c r="J267" s="53">
        <f>+J263</f>
        <v>0.89450385169532243</v>
      </c>
      <c r="K267" s="37"/>
      <c r="L267" s="37"/>
      <c r="M267" s="37"/>
      <c r="N267" s="37">
        <f>+N263</f>
        <v>0.68863619748909088</v>
      </c>
      <c r="O267" s="490"/>
      <c r="P267" s="491"/>
      <c r="Q267" s="367"/>
      <c r="R267" s="357"/>
    </row>
    <row r="270" spans="1:18" ht="15.75" x14ac:dyDescent="0.25">
      <c r="A270" s="506" t="s">
        <v>208</v>
      </c>
      <c r="B270" s="507"/>
      <c r="C270" s="507"/>
      <c r="D270" s="507"/>
      <c r="E270" s="507"/>
      <c r="F270" s="507"/>
      <c r="G270" s="507"/>
      <c r="H270" s="507"/>
      <c r="I270" s="507"/>
      <c r="J270" s="507"/>
      <c r="K270" s="507"/>
      <c r="L270" s="507"/>
      <c r="M270" s="507"/>
      <c r="N270" s="507"/>
      <c r="O270" s="507"/>
      <c r="P270" s="507"/>
      <c r="Q270" s="507"/>
      <c r="R270" s="508"/>
    </row>
    <row r="271" spans="1:18" ht="15.75" x14ac:dyDescent="0.25">
      <c r="A271" s="333" t="s">
        <v>209</v>
      </c>
      <c r="B271" s="332"/>
      <c r="C271" s="39"/>
      <c r="D271" s="55"/>
      <c r="E271" s="39"/>
      <c r="F271" s="39"/>
      <c r="G271" s="39"/>
      <c r="H271" s="494"/>
      <c r="I271" s="494"/>
      <c r="J271" s="494"/>
      <c r="K271" s="39"/>
      <c r="L271" s="39"/>
      <c r="M271" s="39"/>
      <c r="N271" s="39"/>
      <c r="O271" s="39"/>
      <c r="P271" s="39"/>
      <c r="Q271" s="39"/>
      <c r="R271" s="42"/>
    </row>
    <row r="272" spans="1:18" ht="15.75" x14ac:dyDescent="0.25">
      <c r="A272" s="333" t="s">
        <v>228</v>
      </c>
      <c r="B272" s="493" t="s">
        <v>556</v>
      </c>
      <c r="C272" s="493"/>
      <c r="D272" s="55"/>
      <c r="E272" s="39"/>
      <c r="F272" s="39"/>
      <c r="G272" s="39"/>
      <c r="H272" s="494"/>
      <c r="I272" s="494"/>
      <c r="J272" s="494"/>
      <c r="K272" s="39"/>
      <c r="L272" s="39"/>
      <c r="M272" s="39"/>
      <c r="N272" s="39"/>
      <c r="O272" s="39"/>
      <c r="P272" s="39"/>
      <c r="Q272" s="39"/>
      <c r="R272" s="42"/>
    </row>
    <row r="273" spans="1:18" ht="15.75" x14ac:dyDescent="0.25">
      <c r="A273" s="492" t="s">
        <v>210</v>
      </c>
      <c r="B273" s="493"/>
      <c r="C273" s="332"/>
      <c r="D273" s="56"/>
      <c r="E273" s="39"/>
      <c r="F273" s="39"/>
      <c r="G273" s="39"/>
      <c r="H273" s="494"/>
      <c r="I273" s="494"/>
      <c r="J273" s="494"/>
      <c r="K273" s="39"/>
      <c r="L273" s="39"/>
      <c r="M273" s="39"/>
      <c r="N273" s="39"/>
      <c r="O273" s="39"/>
      <c r="P273" s="39"/>
      <c r="Q273" s="39"/>
      <c r="R273" s="42"/>
    </row>
    <row r="274" spans="1:18" ht="15.75" x14ac:dyDescent="0.25">
      <c r="A274" s="495" t="s">
        <v>211</v>
      </c>
      <c r="B274" s="494"/>
      <c r="C274" s="494"/>
      <c r="D274" s="55"/>
      <c r="E274" s="39"/>
      <c r="F274" s="39"/>
      <c r="G274" s="39"/>
      <c r="H274" s="494"/>
      <c r="I274" s="494"/>
      <c r="J274" s="494"/>
      <c r="K274" s="39"/>
      <c r="L274" s="39"/>
      <c r="M274" s="39"/>
      <c r="N274" s="39"/>
      <c r="O274" s="39"/>
      <c r="P274" s="39"/>
      <c r="Q274" s="39"/>
      <c r="R274" s="42"/>
    </row>
    <row r="275" spans="1:18" ht="15.75" x14ac:dyDescent="0.25">
      <c r="A275" s="496" t="s">
        <v>212</v>
      </c>
      <c r="B275" s="496"/>
      <c r="C275" s="496"/>
      <c r="D275" s="496"/>
      <c r="E275" s="496"/>
      <c r="F275" s="496" t="s">
        <v>213</v>
      </c>
      <c r="G275" s="496"/>
      <c r="H275" s="496"/>
      <c r="I275" s="496"/>
      <c r="J275" s="496"/>
      <c r="K275" s="497" t="s">
        <v>221</v>
      </c>
      <c r="L275" s="497"/>
      <c r="M275" s="497"/>
      <c r="N275" s="497"/>
      <c r="O275" s="496" t="s">
        <v>222</v>
      </c>
      <c r="P275" s="496"/>
      <c r="Q275" s="496"/>
      <c r="R275" s="496"/>
    </row>
    <row r="276" spans="1:18" ht="31.5" x14ac:dyDescent="0.25">
      <c r="A276" s="334" t="s">
        <v>0</v>
      </c>
      <c r="B276" s="334" t="s">
        <v>1</v>
      </c>
      <c r="C276" s="334" t="s">
        <v>214</v>
      </c>
      <c r="D276" s="57" t="s">
        <v>215</v>
      </c>
      <c r="E276" s="49" t="s">
        <v>216</v>
      </c>
      <c r="F276" s="334" t="s">
        <v>0</v>
      </c>
      <c r="G276" s="49" t="s">
        <v>217</v>
      </c>
      <c r="H276" s="334" t="s">
        <v>218</v>
      </c>
      <c r="I276" s="49" t="s">
        <v>219</v>
      </c>
      <c r="J276" s="49" t="s">
        <v>216</v>
      </c>
      <c r="K276" s="334" t="s">
        <v>0</v>
      </c>
      <c r="L276" s="49" t="s">
        <v>321</v>
      </c>
      <c r="M276" s="49" t="s">
        <v>224</v>
      </c>
      <c r="N276" s="49" t="s">
        <v>216</v>
      </c>
      <c r="O276" s="496"/>
      <c r="P276" s="496"/>
      <c r="Q276" s="496"/>
      <c r="R276" s="496"/>
    </row>
    <row r="277" spans="1:18" ht="15.75" x14ac:dyDescent="0.25">
      <c r="A277" s="50"/>
      <c r="B277" s="14" t="s">
        <v>557</v>
      </c>
      <c r="C277" s="330">
        <v>1</v>
      </c>
      <c r="D277" s="51">
        <f>+'kardex reactivos 1'!G143</f>
        <v>0.26250000000000001</v>
      </c>
      <c r="E277" s="51">
        <f>+C277*D277</f>
        <v>0.26250000000000001</v>
      </c>
      <c r="F277" s="37"/>
      <c r="G277" s="37"/>
      <c r="H277" s="37">
        <f>+'Minutos MOD por exmen '!C18</f>
        <v>1.5</v>
      </c>
      <c r="I277" s="100">
        <f>+'tasa MOD '!I37</f>
        <v>4.4725192584766118</v>
      </c>
      <c r="J277" s="37">
        <f>+I277*H277</f>
        <v>6.7087788877149173</v>
      </c>
      <c r="K277" s="37"/>
      <c r="L277" s="37">
        <f>+J281</f>
        <v>6.7087788877149173</v>
      </c>
      <c r="M277" s="109">
        <f>+'tasa cif'!G9</f>
        <v>0.76985269116945931</v>
      </c>
      <c r="N277" s="37">
        <f>+L277*M277</f>
        <v>5.1647714811681809</v>
      </c>
      <c r="O277" s="505" t="s">
        <v>225</v>
      </c>
      <c r="P277" s="505"/>
      <c r="Q277" s="35">
        <f>+E281</f>
        <v>0.26250000000000001</v>
      </c>
      <c r="R277" s="38"/>
    </row>
    <row r="278" spans="1:18" ht="15.75" x14ac:dyDescent="0.25">
      <c r="A278" s="50"/>
      <c r="B278" s="14"/>
      <c r="C278" s="330"/>
      <c r="D278" s="51">
        <f>+'kardex reactivos 2'!G501</f>
        <v>0</v>
      </c>
      <c r="E278" s="51">
        <f>+C278*D278</f>
        <v>0</v>
      </c>
      <c r="F278" s="37"/>
      <c r="G278" s="37"/>
      <c r="H278" s="37"/>
      <c r="I278" s="37"/>
      <c r="J278" s="37"/>
      <c r="K278" s="37"/>
      <c r="L278" s="37"/>
      <c r="M278" s="37"/>
      <c r="N278" s="37"/>
      <c r="O278" s="505" t="s">
        <v>226</v>
      </c>
      <c r="P278" s="505"/>
      <c r="Q278">
        <f>+J281</f>
        <v>6.7087788877149173</v>
      </c>
      <c r="R278" s="38"/>
    </row>
    <row r="279" spans="1:18" ht="15.75" x14ac:dyDescent="0.25">
      <c r="A279" s="50"/>
      <c r="B279" s="154"/>
      <c r="C279" s="330"/>
      <c r="D279" s="51">
        <f>+'kardex reactivos 1'!G241</f>
        <v>0</v>
      </c>
      <c r="E279" s="51">
        <f>+C279*D279</f>
        <v>0</v>
      </c>
      <c r="F279" s="37"/>
      <c r="G279" s="37"/>
      <c r="H279" s="37"/>
      <c r="I279" s="37"/>
      <c r="J279" s="37"/>
      <c r="K279" s="37"/>
      <c r="L279" s="37"/>
      <c r="M279" s="37"/>
      <c r="N279" s="37"/>
      <c r="O279" s="43" t="s">
        <v>227</v>
      </c>
      <c r="P279" s="331"/>
      <c r="Q279">
        <f>+N281</f>
        <v>5.1647714811681809</v>
      </c>
      <c r="R279" s="38"/>
    </row>
    <row r="280" spans="1:18" ht="16.5" thickBot="1" x14ac:dyDescent="0.3">
      <c r="A280" s="50"/>
      <c r="B280" s="303"/>
      <c r="C280" s="330"/>
      <c r="D280" s="51">
        <f>+'kardex reactivos 1'!G256</f>
        <v>0</v>
      </c>
      <c r="E280" s="51">
        <f t="shared" ref="E280" si="12">+C280*D280</f>
        <v>0</v>
      </c>
      <c r="F280" s="37"/>
      <c r="G280" s="37"/>
      <c r="H280" s="37"/>
      <c r="I280" s="37"/>
      <c r="J280" s="37"/>
      <c r="K280" s="37"/>
      <c r="L280" s="37"/>
      <c r="M280" s="37"/>
      <c r="N280" s="37"/>
      <c r="O280" s="43"/>
      <c r="P280" s="331"/>
      <c r="Q280" s="356">
        <f>SUM(Q277:Q279)</f>
        <v>12.136050368883097</v>
      </c>
      <c r="R280" s="38"/>
    </row>
    <row r="281" spans="1:18" ht="16.5" thickTop="1" x14ac:dyDescent="0.25">
      <c r="A281" s="489" t="s">
        <v>220</v>
      </c>
      <c r="B281" s="489"/>
      <c r="C281" s="489"/>
      <c r="D281" s="489"/>
      <c r="E281" s="52">
        <f>SUM(E277:E280)</f>
        <v>0.26250000000000001</v>
      </c>
      <c r="F281" s="37"/>
      <c r="G281" s="37"/>
      <c r="H281" s="489" t="s">
        <v>220</v>
      </c>
      <c r="I281" s="489"/>
      <c r="J281" s="53">
        <f>+J277</f>
        <v>6.7087788877149173</v>
      </c>
      <c r="K281" s="37"/>
      <c r="L281" s="37"/>
      <c r="M281" s="37"/>
      <c r="N281" s="37">
        <f>+N277</f>
        <v>5.1647714811681809</v>
      </c>
      <c r="O281" s="490"/>
      <c r="P281" s="491"/>
      <c r="Q281" s="367"/>
      <c r="R281" s="357"/>
    </row>
    <row r="287" spans="1:18" ht="15.75" x14ac:dyDescent="0.25">
      <c r="A287" s="506" t="s">
        <v>208</v>
      </c>
      <c r="B287" s="507"/>
      <c r="C287" s="507"/>
      <c r="D287" s="507"/>
      <c r="E287" s="507"/>
      <c r="F287" s="507"/>
      <c r="G287" s="507"/>
      <c r="H287" s="507"/>
      <c r="I287" s="507"/>
      <c r="J287" s="507"/>
      <c r="K287" s="507"/>
      <c r="L287" s="507"/>
      <c r="M287" s="507"/>
      <c r="N287" s="507"/>
      <c r="O287" s="507"/>
      <c r="P287" s="507"/>
      <c r="Q287" s="507"/>
      <c r="R287" s="508"/>
    </row>
    <row r="288" spans="1:18" ht="15.75" x14ac:dyDescent="0.25">
      <c r="A288" s="333" t="s">
        <v>209</v>
      </c>
      <c r="B288" s="332"/>
      <c r="C288" s="39"/>
      <c r="D288" s="55"/>
      <c r="E288" s="39"/>
      <c r="F288" s="39"/>
      <c r="G288" s="39"/>
      <c r="H288" s="494"/>
      <c r="I288" s="494"/>
      <c r="J288" s="494"/>
      <c r="K288" s="39"/>
      <c r="L288" s="39"/>
      <c r="M288" s="39"/>
      <c r="N288" s="39"/>
      <c r="O288" s="39"/>
      <c r="P288" s="39"/>
      <c r="Q288" s="39"/>
      <c r="R288" s="42"/>
    </row>
    <row r="289" spans="1:18" ht="15.75" x14ac:dyDescent="0.25">
      <c r="A289" s="333" t="s">
        <v>228</v>
      </c>
      <c r="B289" s="493" t="s">
        <v>559</v>
      </c>
      <c r="C289" s="493"/>
      <c r="D289" s="55"/>
      <c r="E289" s="39"/>
      <c r="F289" s="39"/>
      <c r="G289" s="39"/>
      <c r="H289" s="494"/>
      <c r="I289" s="494"/>
      <c r="J289" s="494"/>
      <c r="K289" s="39"/>
      <c r="L289" s="39"/>
      <c r="M289" s="39"/>
      <c r="N289" s="39"/>
      <c r="O289" s="39"/>
      <c r="P289" s="39"/>
      <c r="Q289" s="39"/>
      <c r="R289" s="42"/>
    </row>
    <row r="290" spans="1:18" ht="15.75" x14ac:dyDescent="0.25">
      <c r="A290" s="492" t="s">
        <v>210</v>
      </c>
      <c r="B290" s="493"/>
      <c r="C290" s="332"/>
      <c r="D290" s="56"/>
      <c r="E290" s="39"/>
      <c r="F290" s="39"/>
      <c r="G290" s="39"/>
      <c r="H290" s="494"/>
      <c r="I290" s="494"/>
      <c r="J290" s="494"/>
      <c r="K290" s="39"/>
      <c r="L290" s="39"/>
      <c r="M290" s="39"/>
      <c r="N290" s="39"/>
      <c r="O290" s="39"/>
      <c r="P290" s="39"/>
      <c r="Q290" s="39"/>
      <c r="R290" s="42"/>
    </row>
    <row r="291" spans="1:18" ht="15.75" x14ac:dyDescent="0.25">
      <c r="A291" s="495" t="s">
        <v>211</v>
      </c>
      <c r="B291" s="494"/>
      <c r="C291" s="494"/>
      <c r="D291" s="55"/>
      <c r="E291" s="39"/>
      <c r="F291" s="39"/>
      <c r="G291" s="39"/>
      <c r="H291" s="494"/>
      <c r="I291" s="494"/>
      <c r="J291" s="494"/>
      <c r="K291" s="39"/>
      <c r="L291" s="39"/>
      <c r="M291" s="39"/>
      <c r="N291" s="39"/>
      <c r="O291" s="39"/>
      <c r="P291" s="39"/>
      <c r="Q291" s="39"/>
      <c r="R291" s="42"/>
    </row>
    <row r="292" spans="1:18" ht="15.75" x14ac:dyDescent="0.25">
      <c r="A292" s="496" t="s">
        <v>212</v>
      </c>
      <c r="B292" s="496"/>
      <c r="C292" s="496"/>
      <c r="D292" s="496"/>
      <c r="E292" s="496"/>
      <c r="F292" s="496" t="s">
        <v>213</v>
      </c>
      <c r="G292" s="496"/>
      <c r="H292" s="496"/>
      <c r="I292" s="496"/>
      <c r="J292" s="496"/>
      <c r="K292" s="497" t="s">
        <v>221</v>
      </c>
      <c r="L292" s="497"/>
      <c r="M292" s="497"/>
      <c r="N292" s="497"/>
      <c r="O292" s="496" t="s">
        <v>222</v>
      </c>
      <c r="P292" s="496"/>
      <c r="Q292" s="496"/>
      <c r="R292" s="496"/>
    </row>
    <row r="293" spans="1:18" ht="31.5" x14ac:dyDescent="0.25">
      <c r="A293" s="334" t="s">
        <v>0</v>
      </c>
      <c r="B293" s="334" t="s">
        <v>1</v>
      </c>
      <c r="C293" s="334" t="s">
        <v>214</v>
      </c>
      <c r="D293" s="57" t="s">
        <v>215</v>
      </c>
      <c r="E293" s="49" t="s">
        <v>216</v>
      </c>
      <c r="F293" s="334" t="s">
        <v>0</v>
      </c>
      <c r="G293" s="49" t="s">
        <v>217</v>
      </c>
      <c r="H293" s="334" t="s">
        <v>218</v>
      </c>
      <c r="I293" s="49" t="s">
        <v>219</v>
      </c>
      <c r="J293" s="49" t="s">
        <v>216</v>
      </c>
      <c r="K293" s="334" t="s">
        <v>0</v>
      </c>
      <c r="L293" s="49" t="s">
        <v>321</v>
      </c>
      <c r="M293" s="49" t="s">
        <v>224</v>
      </c>
      <c r="N293" s="49" t="s">
        <v>216</v>
      </c>
      <c r="O293" s="496"/>
      <c r="P293" s="496"/>
      <c r="Q293" s="496"/>
      <c r="R293" s="496"/>
    </row>
    <row r="294" spans="1:18" ht="15.75" x14ac:dyDescent="0.25">
      <c r="A294" s="50"/>
      <c r="B294" s="154" t="s">
        <v>560</v>
      </c>
      <c r="C294" s="328">
        <v>1</v>
      </c>
      <c r="D294" s="51">
        <f>+'kardex reactivos 1'!G130</f>
        <v>0.33700000000000002</v>
      </c>
      <c r="E294" s="51">
        <f>+C294*D294</f>
        <v>0.33700000000000002</v>
      </c>
      <c r="F294" s="37"/>
      <c r="G294" s="37"/>
      <c r="H294" s="37">
        <f>+'Minutos MOD por exmen '!C19</f>
        <v>0.25</v>
      </c>
      <c r="I294" s="100">
        <f>+'tasa MOD '!I37</f>
        <v>4.4725192584766118</v>
      </c>
      <c r="J294" s="37">
        <f>+I294*H294</f>
        <v>1.118129814619153</v>
      </c>
      <c r="K294" s="37"/>
      <c r="L294" s="37">
        <f>+J298</f>
        <v>1.118129814619153</v>
      </c>
      <c r="M294" s="109">
        <f>+'tasa cif'!G9</f>
        <v>0.76985269116945931</v>
      </c>
      <c r="N294" s="37">
        <f>+L294*M294</f>
        <v>0.86079524686136355</v>
      </c>
      <c r="O294" s="505" t="s">
        <v>225</v>
      </c>
      <c r="P294" s="505"/>
      <c r="Q294" s="35">
        <f>+E298</f>
        <v>0.33700000000000002</v>
      </c>
      <c r="R294" s="38"/>
    </row>
    <row r="295" spans="1:18" ht="15.75" x14ac:dyDescent="0.25">
      <c r="A295" s="50"/>
      <c r="B295" s="14"/>
      <c r="C295" s="330"/>
      <c r="D295" s="51"/>
      <c r="E295" s="51">
        <f>+C295*D295</f>
        <v>0</v>
      </c>
      <c r="F295" s="37"/>
      <c r="G295" s="37"/>
      <c r="H295" s="37"/>
      <c r="I295" s="37"/>
      <c r="J295" s="37"/>
      <c r="K295" s="37"/>
      <c r="L295" s="37"/>
      <c r="M295" s="37"/>
      <c r="N295" s="37"/>
      <c r="O295" s="505" t="s">
        <v>226</v>
      </c>
      <c r="P295" s="505"/>
      <c r="Q295">
        <f>+J298</f>
        <v>1.118129814619153</v>
      </c>
      <c r="R295" s="38"/>
    </row>
    <row r="296" spans="1:18" ht="15.75" x14ac:dyDescent="0.25">
      <c r="A296" s="50"/>
      <c r="B296" s="154"/>
      <c r="C296" s="330"/>
      <c r="D296" s="51"/>
      <c r="E296" s="51">
        <f>+C296*D296</f>
        <v>0</v>
      </c>
      <c r="F296" s="37"/>
      <c r="G296" s="37"/>
      <c r="H296" s="37"/>
      <c r="I296" s="37"/>
      <c r="J296" s="37"/>
      <c r="K296" s="37"/>
      <c r="L296" s="37"/>
      <c r="M296" s="37"/>
      <c r="N296" s="37"/>
      <c r="O296" s="43" t="s">
        <v>227</v>
      </c>
      <c r="P296" s="331"/>
      <c r="Q296">
        <f>+N298</f>
        <v>0.86079524686136355</v>
      </c>
      <c r="R296" s="38"/>
    </row>
    <row r="297" spans="1:18" ht="16.5" thickBot="1" x14ac:dyDescent="0.3">
      <c r="A297" s="50"/>
      <c r="B297" s="303"/>
      <c r="C297" s="330"/>
      <c r="D297" s="51"/>
      <c r="E297" s="51">
        <f t="shared" ref="E297" si="13">+C297*D297</f>
        <v>0</v>
      </c>
      <c r="F297" s="37"/>
      <c r="G297" s="37"/>
      <c r="H297" s="37"/>
      <c r="I297" s="37"/>
      <c r="J297" s="37"/>
      <c r="K297" s="37"/>
      <c r="L297" s="37"/>
      <c r="M297" s="37"/>
      <c r="N297" s="37"/>
      <c r="O297" s="43"/>
      <c r="P297" s="331"/>
      <c r="Q297" s="356">
        <f>SUM(Q294:Q296)</f>
        <v>2.3159250614805167</v>
      </c>
      <c r="R297" s="38"/>
    </row>
    <row r="298" spans="1:18" ht="16.5" thickTop="1" x14ac:dyDescent="0.25">
      <c r="A298" s="489" t="s">
        <v>220</v>
      </c>
      <c r="B298" s="489"/>
      <c r="C298" s="489"/>
      <c r="D298" s="489"/>
      <c r="E298" s="52">
        <f>SUM(E294:E297)</f>
        <v>0.33700000000000002</v>
      </c>
      <c r="F298" s="37"/>
      <c r="G298" s="37"/>
      <c r="H298" s="489" t="s">
        <v>220</v>
      </c>
      <c r="I298" s="489"/>
      <c r="J298" s="53">
        <f>+J294</f>
        <v>1.118129814619153</v>
      </c>
      <c r="K298" s="37"/>
      <c r="L298" s="37"/>
      <c r="M298" s="37"/>
      <c r="N298" s="37">
        <f>+N294</f>
        <v>0.86079524686136355</v>
      </c>
      <c r="O298" s="490"/>
      <c r="P298" s="491"/>
      <c r="Q298" s="367"/>
      <c r="R298" s="357"/>
    </row>
    <row r="302" spans="1:18" ht="15.75" x14ac:dyDescent="0.25">
      <c r="A302" s="506" t="s">
        <v>208</v>
      </c>
      <c r="B302" s="507"/>
      <c r="C302" s="507"/>
      <c r="D302" s="507"/>
      <c r="E302" s="507"/>
      <c r="F302" s="507"/>
      <c r="G302" s="507"/>
      <c r="H302" s="507"/>
      <c r="I302" s="507"/>
      <c r="J302" s="507"/>
      <c r="K302" s="507"/>
      <c r="L302" s="507"/>
      <c r="M302" s="507"/>
      <c r="N302" s="507"/>
      <c r="O302" s="507"/>
      <c r="P302" s="507"/>
      <c r="Q302" s="507"/>
      <c r="R302" s="508"/>
    </row>
    <row r="303" spans="1:18" ht="15.75" x14ac:dyDescent="0.25">
      <c r="A303" s="333" t="s">
        <v>209</v>
      </c>
      <c r="B303" s="332"/>
      <c r="C303" s="39"/>
      <c r="D303" s="55"/>
      <c r="E303" s="39"/>
      <c r="F303" s="39"/>
      <c r="G303" s="39"/>
      <c r="H303" s="494"/>
      <c r="I303" s="494"/>
      <c r="J303" s="494"/>
      <c r="K303" s="39"/>
      <c r="L303" s="39"/>
      <c r="M303" s="39"/>
      <c r="N303" s="39"/>
      <c r="O303" s="39"/>
      <c r="P303" s="39"/>
      <c r="Q303" s="39"/>
      <c r="R303" s="42"/>
    </row>
    <row r="304" spans="1:18" ht="15.75" x14ac:dyDescent="0.25">
      <c r="A304" s="333" t="s">
        <v>228</v>
      </c>
      <c r="B304" s="493" t="s">
        <v>562</v>
      </c>
      <c r="C304" s="493"/>
      <c r="D304" s="55"/>
      <c r="E304" s="39"/>
      <c r="F304" s="39"/>
      <c r="G304" s="39"/>
      <c r="H304" s="494"/>
      <c r="I304" s="494"/>
      <c r="J304" s="494"/>
      <c r="K304" s="39"/>
      <c r="L304" s="39"/>
      <c r="M304" s="39"/>
      <c r="N304" s="39"/>
      <c r="O304" s="39"/>
      <c r="P304" s="39"/>
      <c r="Q304" s="39"/>
      <c r="R304" s="42"/>
    </row>
    <row r="305" spans="1:18" ht="15.75" x14ac:dyDescent="0.25">
      <c r="A305" s="492" t="s">
        <v>210</v>
      </c>
      <c r="B305" s="493"/>
      <c r="C305" s="332"/>
      <c r="D305" s="56"/>
      <c r="E305" s="39"/>
      <c r="F305" s="39"/>
      <c r="G305" s="39"/>
      <c r="H305" s="494"/>
      <c r="I305" s="494"/>
      <c r="J305" s="494"/>
      <c r="K305" s="39"/>
      <c r="L305" s="39"/>
      <c r="M305" s="39"/>
      <c r="N305" s="39"/>
      <c r="O305" s="39"/>
      <c r="P305" s="39"/>
      <c r="Q305" s="39"/>
      <c r="R305" s="42"/>
    </row>
    <row r="306" spans="1:18" ht="15.75" x14ac:dyDescent="0.25">
      <c r="A306" s="495" t="s">
        <v>211</v>
      </c>
      <c r="B306" s="494"/>
      <c r="C306" s="494"/>
      <c r="D306" s="55"/>
      <c r="E306" s="39"/>
      <c r="F306" s="39"/>
      <c r="G306" s="39"/>
      <c r="H306" s="494"/>
      <c r="I306" s="494"/>
      <c r="J306" s="494"/>
      <c r="K306" s="39"/>
      <c r="L306" s="39"/>
      <c r="M306" s="39"/>
      <c r="N306" s="39"/>
      <c r="O306" s="39"/>
      <c r="P306" s="39"/>
      <c r="Q306" s="39"/>
      <c r="R306" s="42"/>
    </row>
    <row r="307" spans="1:18" ht="15.75" x14ac:dyDescent="0.25">
      <c r="A307" s="496" t="s">
        <v>212</v>
      </c>
      <c r="B307" s="496"/>
      <c r="C307" s="496"/>
      <c r="D307" s="496"/>
      <c r="E307" s="496"/>
      <c r="F307" s="496" t="s">
        <v>213</v>
      </c>
      <c r="G307" s="496"/>
      <c r="H307" s="496"/>
      <c r="I307" s="496"/>
      <c r="J307" s="496"/>
      <c r="K307" s="497" t="s">
        <v>221</v>
      </c>
      <c r="L307" s="497"/>
      <c r="M307" s="497"/>
      <c r="N307" s="497"/>
      <c r="O307" s="496" t="s">
        <v>222</v>
      </c>
      <c r="P307" s="496"/>
      <c r="Q307" s="496"/>
      <c r="R307" s="496"/>
    </row>
    <row r="308" spans="1:18" ht="31.5" x14ac:dyDescent="0.25">
      <c r="A308" s="334" t="s">
        <v>0</v>
      </c>
      <c r="B308" s="334" t="s">
        <v>1</v>
      </c>
      <c r="C308" s="334" t="s">
        <v>214</v>
      </c>
      <c r="D308" s="57" t="s">
        <v>215</v>
      </c>
      <c r="E308" s="49" t="s">
        <v>216</v>
      </c>
      <c r="F308" s="334" t="s">
        <v>0</v>
      </c>
      <c r="G308" s="49" t="s">
        <v>217</v>
      </c>
      <c r="H308" s="334" t="s">
        <v>218</v>
      </c>
      <c r="I308" s="49" t="s">
        <v>219</v>
      </c>
      <c r="J308" s="49" t="s">
        <v>216</v>
      </c>
      <c r="K308" s="334" t="s">
        <v>0</v>
      </c>
      <c r="L308" s="49" t="s">
        <v>321</v>
      </c>
      <c r="M308" s="49" t="s">
        <v>224</v>
      </c>
      <c r="N308" s="49" t="s">
        <v>216</v>
      </c>
      <c r="O308" s="496"/>
      <c r="P308" s="496"/>
      <c r="Q308" s="496"/>
      <c r="R308" s="496"/>
    </row>
    <row r="309" spans="1:18" ht="15.75" x14ac:dyDescent="0.25">
      <c r="A309" s="50"/>
      <c r="B309" s="14" t="s">
        <v>86</v>
      </c>
      <c r="C309" s="396">
        <v>0.5</v>
      </c>
      <c r="D309" s="51">
        <f>+'kardex reactivos 1'!G162</f>
        <v>4.1119999999999997E-2</v>
      </c>
      <c r="E309" s="51">
        <f>+C309*D309</f>
        <v>2.0559999999999998E-2</v>
      </c>
      <c r="F309" s="37"/>
      <c r="G309" s="37"/>
      <c r="H309" s="37">
        <f>+'Minutos MOD por exmen '!C20</f>
        <v>0.5</v>
      </c>
      <c r="I309" s="100">
        <f>+'tasa MOD '!I37</f>
        <v>4.4725192584766118</v>
      </c>
      <c r="J309" s="37">
        <f>+I309*H309</f>
        <v>2.2362596292383059</v>
      </c>
      <c r="K309" s="37"/>
      <c r="L309" s="37">
        <f>+J319</f>
        <v>2.2362596292383059</v>
      </c>
      <c r="M309" s="109">
        <f>+'tasa cif'!G9</f>
        <v>0.76985269116945931</v>
      </c>
      <c r="N309" s="37">
        <f>+L309*M309</f>
        <v>1.7215904937227271</v>
      </c>
      <c r="O309" s="505" t="s">
        <v>225</v>
      </c>
      <c r="P309" s="505"/>
      <c r="Q309" s="35">
        <f>+E319</f>
        <v>1.0406383333333333</v>
      </c>
      <c r="R309" s="38"/>
    </row>
    <row r="310" spans="1:18" ht="15.75" x14ac:dyDescent="0.25">
      <c r="A310" s="50"/>
      <c r="B310" s="14" t="s">
        <v>229</v>
      </c>
      <c r="C310" s="396">
        <v>1</v>
      </c>
      <c r="D310" s="51">
        <f>+'kardex reactivos 1'!G198</f>
        <v>6.8000000000000005E-2</v>
      </c>
      <c r="E310" s="51">
        <f>+C310*D310</f>
        <v>6.8000000000000005E-2</v>
      </c>
      <c r="F310" s="37"/>
      <c r="G310" s="37"/>
      <c r="H310" s="37"/>
      <c r="I310" s="37"/>
      <c r="J310" s="37"/>
      <c r="K310" s="37"/>
      <c r="L310" s="37"/>
      <c r="M310" s="37"/>
      <c r="N310" s="37"/>
      <c r="O310" s="505" t="s">
        <v>226</v>
      </c>
      <c r="P310" s="505"/>
      <c r="Q310">
        <f>+J319</f>
        <v>2.2362596292383059</v>
      </c>
      <c r="R310" s="38"/>
    </row>
    <row r="311" spans="1:18" ht="15.75" x14ac:dyDescent="0.25">
      <c r="A311" s="50"/>
      <c r="B311" s="312" t="s">
        <v>230</v>
      </c>
      <c r="C311" s="396">
        <v>1</v>
      </c>
      <c r="D311" s="51">
        <f>+'kardex reactivos 1'!G220</f>
        <v>6.8000000000000005E-2</v>
      </c>
      <c r="E311" s="51">
        <f>+C311*D311</f>
        <v>6.8000000000000005E-2</v>
      </c>
      <c r="F311" s="37"/>
      <c r="G311" s="37"/>
      <c r="H311" s="37"/>
      <c r="I311" s="37"/>
      <c r="J311" s="37"/>
      <c r="K311" s="37"/>
      <c r="L311" s="37"/>
      <c r="M311" s="37"/>
      <c r="N311" s="37"/>
      <c r="O311" s="43" t="s">
        <v>227</v>
      </c>
      <c r="P311" s="331"/>
      <c r="Q311">
        <f>+N319</f>
        <v>1.7215904937227271</v>
      </c>
      <c r="R311" s="38"/>
    </row>
    <row r="312" spans="1:18" ht="16.5" thickBot="1" x14ac:dyDescent="0.3">
      <c r="A312" s="50"/>
      <c r="B312" s="14" t="s">
        <v>147</v>
      </c>
      <c r="C312" s="396">
        <v>1.5</v>
      </c>
      <c r="D312" s="51">
        <f>+'kardex reactivos 2'!G389</f>
        <v>3.3210000000000003E-2</v>
      </c>
      <c r="E312" s="51">
        <f t="shared" ref="E312:E318" si="14">+C312*D312</f>
        <v>4.9815000000000005E-2</v>
      </c>
      <c r="F312" s="37"/>
      <c r="G312" s="37"/>
      <c r="H312" s="37"/>
      <c r="I312" s="37"/>
      <c r="J312" s="37"/>
      <c r="K312" s="37"/>
      <c r="L312" s="37"/>
      <c r="M312" s="37"/>
      <c r="N312" s="37"/>
      <c r="O312" s="43"/>
      <c r="P312" s="331"/>
      <c r="Q312" s="356">
        <f>SUM(Q309:Q311)</f>
        <v>4.9984884562943659</v>
      </c>
      <c r="R312" s="38"/>
    </row>
    <row r="313" spans="1:18" ht="16.5" thickTop="1" x14ac:dyDescent="0.25">
      <c r="A313" s="50"/>
      <c r="B313" s="312" t="s">
        <v>148</v>
      </c>
      <c r="C313" s="396">
        <v>3</v>
      </c>
      <c r="D313" s="51">
        <f>+'kardex reactivos 2'!G403</f>
        <v>3.3270000000000001E-2</v>
      </c>
      <c r="E313" s="51">
        <f t="shared" si="14"/>
        <v>9.981000000000001E-2</v>
      </c>
      <c r="F313" s="37"/>
      <c r="G313" s="37"/>
      <c r="H313" s="37"/>
      <c r="I313" s="37"/>
      <c r="J313" s="37"/>
      <c r="K313" s="37"/>
      <c r="L313" s="37"/>
      <c r="M313" s="37"/>
      <c r="N313" s="37"/>
      <c r="O313" s="43"/>
      <c r="P313" s="331"/>
      <c r="R313" s="38"/>
    </row>
    <row r="314" spans="1:18" ht="15.75" x14ac:dyDescent="0.25">
      <c r="A314" s="50"/>
      <c r="B314" s="14" t="s">
        <v>149</v>
      </c>
      <c r="C314" s="396">
        <v>3</v>
      </c>
      <c r="D314" s="51">
        <f>+'kardex reactivos 2'!G417</f>
        <v>4.8500000000000001E-2</v>
      </c>
      <c r="E314" s="51">
        <f t="shared" si="14"/>
        <v>0.14550000000000002</v>
      </c>
      <c r="F314" s="37"/>
      <c r="G314" s="37"/>
      <c r="H314" s="37"/>
      <c r="I314" s="37"/>
      <c r="J314" s="37"/>
      <c r="K314" s="37"/>
      <c r="L314" s="37"/>
      <c r="M314" s="37"/>
      <c r="N314" s="37"/>
      <c r="O314" s="43"/>
      <c r="P314" s="331"/>
      <c r="R314" s="38"/>
    </row>
    <row r="315" spans="1:18" ht="15.75" x14ac:dyDescent="0.25">
      <c r="A315" s="50"/>
      <c r="B315" s="14" t="s">
        <v>93</v>
      </c>
      <c r="C315" s="396">
        <v>0.5</v>
      </c>
      <c r="D315" s="51">
        <f>+'kardex reactivos 1'!G279</f>
        <v>4.2146666666666666E-2</v>
      </c>
      <c r="E315" s="51">
        <f t="shared" si="14"/>
        <v>2.1073333333333333E-2</v>
      </c>
      <c r="F315" s="37"/>
      <c r="G315" s="37"/>
      <c r="H315" s="37"/>
      <c r="I315" s="37"/>
      <c r="J315" s="37"/>
      <c r="K315" s="37"/>
      <c r="L315" s="37"/>
      <c r="M315" s="37"/>
      <c r="N315" s="37"/>
      <c r="O315" s="43"/>
      <c r="P315" s="331"/>
      <c r="R315" s="38"/>
    </row>
    <row r="316" spans="1:18" ht="15.75" x14ac:dyDescent="0.25">
      <c r="A316" s="50"/>
      <c r="B316" s="14" t="s">
        <v>150</v>
      </c>
      <c r="C316" s="396">
        <v>2</v>
      </c>
      <c r="D316" s="51">
        <f>+'kardex reactivos 2'!G430</f>
        <v>7.8420000000000004E-2</v>
      </c>
      <c r="E316" s="51">
        <f t="shared" si="14"/>
        <v>0.15684000000000001</v>
      </c>
      <c r="F316" s="37"/>
      <c r="G316" s="37"/>
      <c r="H316" s="37"/>
      <c r="I316" s="37"/>
      <c r="J316" s="37"/>
      <c r="K316" s="37"/>
      <c r="L316" s="37"/>
      <c r="M316" s="37"/>
      <c r="N316" s="37"/>
      <c r="O316" s="43"/>
      <c r="P316" s="331"/>
      <c r="R316" s="38"/>
    </row>
    <row r="317" spans="1:18" ht="15.75" x14ac:dyDescent="0.25">
      <c r="A317" s="50"/>
      <c r="B317" s="14" t="s">
        <v>152</v>
      </c>
      <c r="C317" s="396">
        <v>2.5</v>
      </c>
      <c r="D317" s="51">
        <f>+'kardex reactivos 2'!G457</f>
        <v>0.08</v>
      </c>
      <c r="E317" s="51">
        <f t="shared" si="14"/>
        <v>0.2</v>
      </c>
      <c r="F317" s="37"/>
      <c r="G317" s="37"/>
      <c r="H317" s="37"/>
      <c r="I317" s="37"/>
      <c r="J317" s="37"/>
      <c r="K317" s="37"/>
      <c r="L317" s="37"/>
      <c r="M317" s="37"/>
      <c r="N317" s="37"/>
      <c r="O317" s="43"/>
      <c r="P317" s="331"/>
      <c r="R317" s="38"/>
    </row>
    <row r="318" spans="1:18" ht="15.75" x14ac:dyDescent="0.25">
      <c r="A318" s="50"/>
      <c r="B318" s="14" t="s">
        <v>151</v>
      </c>
      <c r="C318" s="396">
        <v>2</v>
      </c>
      <c r="D318" s="51">
        <f>+'kardex reactivos 2'!G444</f>
        <v>0.10552</v>
      </c>
      <c r="E318" s="51">
        <f t="shared" si="14"/>
        <v>0.21104000000000001</v>
      </c>
      <c r="F318" s="37"/>
      <c r="G318" s="37"/>
      <c r="H318" s="37"/>
      <c r="I318" s="37"/>
      <c r="J318" s="37"/>
      <c r="K318" s="37"/>
      <c r="L318" s="37"/>
      <c r="M318" s="37"/>
      <c r="N318" s="37"/>
      <c r="O318" s="43"/>
      <c r="P318" s="331"/>
      <c r="R318" s="38"/>
    </row>
    <row r="319" spans="1:18" ht="15.75" x14ac:dyDescent="0.25">
      <c r="A319" s="489" t="s">
        <v>220</v>
      </c>
      <c r="B319" s="489"/>
      <c r="C319" s="489"/>
      <c r="D319" s="489"/>
      <c r="E319" s="52">
        <f>SUM(E309:E318)</f>
        <v>1.0406383333333333</v>
      </c>
      <c r="F319" s="37"/>
      <c r="G319" s="37"/>
      <c r="H319" s="489" t="s">
        <v>220</v>
      </c>
      <c r="I319" s="489"/>
      <c r="J319" s="53">
        <f>+J309</f>
        <v>2.2362596292383059</v>
      </c>
      <c r="K319" s="37"/>
      <c r="L319" s="37"/>
      <c r="M319" s="37"/>
      <c r="N319" s="37">
        <f>+N309</f>
        <v>1.7215904937227271</v>
      </c>
      <c r="O319" s="490"/>
      <c r="P319" s="491"/>
      <c r="Q319" s="367"/>
      <c r="R319" s="357"/>
    </row>
    <row r="322" spans="1:18" ht="15.75" x14ac:dyDescent="0.25">
      <c r="A322" s="506" t="s">
        <v>208</v>
      </c>
      <c r="B322" s="507"/>
      <c r="C322" s="507"/>
      <c r="D322" s="507"/>
      <c r="E322" s="507"/>
      <c r="F322" s="507"/>
      <c r="G322" s="507"/>
      <c r="H322" s="507"/>
      <c r="I322" s="507"/>
      <c r="J322" s="507"/>
      <c r="K322" s="507"/>
      <c r="L322" s="507"/>
      <c r="M322" s="507"/>
      <c r="N322" s="507"/>
      <c r="O322" s="507"/>
      <c r="P322" s="507"/>
      <c r="Q322" s="507"/>
      <c r="R322" s="508"/>
    </row>
    <row r="323" spans="1:18" ht="15.75" x14ac:dyDescent="0.25">
      <c r="A323" s="333" t="s">
        <v>209</v>
      </c>
      <c r="B323" s="332"/>
      <c r="C323" s="39"/>
      <c r="D323" s="55"/>
      <c r="E323" s="39"/>
      <c r="F323" s="39"/>
      <c r="G323" s="39"/>
      <c r="H323" s="494"/>
      <c r="I323" s="494"/>
      <c r="J323" s="494"/>
      <c r="K323" s="39"/>
      <c r="L323" s="39"/>
      <c r="M323" s="39"/>
      <c r="N323" s="39"/>
      <c r="O323" s="39"/>
      <c r="P323" s="39"/>
      <c r="Q323" s="39"/>
      <c r="R323" s="42"/>
    </row>
    <row r="324" spans="1:18" ht="15.75" x14ac:dyDescent="0.25">
      <c r="A324" s="333" t="s">
        <v>228</v>
      </c>
      <c r="B324" s="493" t="s">
        <v>115</v>
      </c>
      <c r="C324" s="493"/>
      <c r="D324" s="55"/>
      <c r="E324" s="39"/>
      <c r="F324" s="39"/>
      <c r="G324" s="39"/>
      <c r="H324" s="494"/>
      <c r="I324" s="494"/>
      <c r="J324" s="494"/>
      <c r="K324" s="39"/>
      <c r="L324" s="39"/>
      <c r="M324" s="39"/>
      <c r="N324" s="39"/>
      <c r="O324" s="39"/>
      <c r="P324" s="39"/>
      <c r="Q324" s="39"/>
      <c r="R324" s="42"/>
    </row>
    <row r="325" spans="1:18" ht="15.75" x14ac:dyDescent="0.25">
      <c r="A325" s="492" t="s">
        <v>210</v>
      </c>
      <c r="B325" s="493"/>
      <c r="C325" s="332"/>
      <c r="D325" s="56"/>
      <c r="E325" s="39"/>
      <c r="F325" s="39"/>
      <c r="G325" s="39"/>
      <c r="H325" s="494"/>
      <c r="I325" s="494"/>
      <c r="J325" s="494"/>
      <c r="K325" s="39"/>
      <c r="L325" s="39"/>
      <c r="M325" s="39"/>
      <c r="N325" s="39"/>
      <c r="O325" s="39"/>
      <c r="P325" s="39"/>
      <c r="Q325" s="39"/>
      <c r="R325" s="42"/>
    </row>
    <row r="326" spans="1:18" ht="15.75" x14ac:dyDescent="0.25">
      <c r="A326" s="495" t="s">
        <v>211</v>
      </c>
      <c r="B326" s="494"/>
      <c r="C326" s="494"/>
      <c r="D326" s="55"/>
      <c r="E326" s="39"/>
      <c r="F326" s="39"/>
      <c r="G326" s="39"/>
      <c r="H326" s="494"/>
      <c r="I326" s="494"/>
      <c r="J326" s="494"/>
      <c r="K326" s="39"/>
      <c r="L326" s="39"/>
      <c r="M326" s="39"/>
      <c r="N326" s="39"/>
      <c r="O326" s="39"/>
      <c r="P326" s="39"/>
      <c r="Q326" s="39"/>
      <c r="R326" s="42"/>
    </row>
    <row r="327" spans="1:18" ht="15.75" x14ac:dyDescent="0.25">
      <c r="A327" s="496" t="s">
        <v>212</v>
      </c>
      <c r="B327" s="496"/>
      <c r="C327" s="496"/>
      <c r="D327" s="496"/>
      <c r="E327" s="496"/>
      <c r="F327" s="496" t="s">
        <v>213</v>
      </c>
      <c r="G327" s="496"/>
      <c r="H327" s="496"/>
      <c r="I327" s="496"/>
      <c r="J327" s="496"/>
      <c r="K327" s="497" t="s">
        <v>221</v>
      </c>
      <c r="L327" s="497"/>
      <c r="M327" s="497"/>
      <c r="N327" s="497"/>
      <c r="O327" s="496" t="s">
        <v>222</v>
      </c>
      <c r="P327" s="496"/>
      <c r="Q327" s="496"/>
      <c r="R327" s="496"/>
    </row>
    <row r="328" spans="1:18" ht="31.5" x14ac:dyDescent="0.25">
      <c r="A328" s="334" t="s">
        <v>0</v>
      </c>
      <c r="B328" s="334" t="s">
        <v>1</v>
      </c>
      <c r="C328" s="334" t="s">
        <v>214</v>
      </c>
      <c r="D328" s="57" t="s">
        <v>215</v>
      </c>
      <c r="E328" s="49" t="s">
        <v>216</v>
      </c>
      <c r="F328" s="334" t="s">
        <v>0</v>
      </c>
      <c r="G328" s="49" t="s">
        <v>217</v>
      </c>
      <c r="H328" s="334" t="s">
        <v>218</v>
      </c>
      <c r="I328" s="49" t="s">
        <v>219</v>
      </c>
      <c r="J328" s="49" t="s">
        <v>216</v>
      </c>
      <c r="K328" s="334" t="s">
        <v>0</v>
      </c>
      <c r="L328" s="49" t="s">
        <v>321</v>
      </c>
      <c r="M328" s="49" t="s">
        <v>224</v>
      </c>
      <c r="N328" s="49" t="s">
        <v>216</v>
      </c>
      <c r="O328" s="496"/>
      <c r="P328" s="496"/>
      <c r="Q328" s="496"/>
      <c r="R328" s="496"/>
    </row>
    <row r="329" spans="1:18" ht="15.75" x14ac:dyDescent="0.25">
      <c r="A329" s="50"/>
      <c r="B329" s="312" t="s">
        <v>564</v>
      </c>
      <c r="C329" s="396">
        <v>3</v>
      </c>
      <c r="D329" s="51">
        <f>+'kardex reactivos 3'!G388</f>
        <v>0.31280000000000002</v>
      </c>
      <c r="E329" s="51">
        <f>+C329*D329</f>
        <v>0.93840000000000012</v>
      </c>
      <c r="F329" s="37"/>
      <c r="G329" s="37"/>
      <c r="H329" s="37">
        <f>+'Minutos MOD por exmen '!C21</f>
        <v>1.6666666666666667</v>
      </c>
      <c r="I329" s="100">
        <f>+'tasa MOD '!I37</f>
        <v>4.4725192584766118</v>
      </c>
      <c r="J329" s="37">
        <f>+H329*I329</f>
        <v>7.4541987641276863</v>
      </c>
      <c r="K329" s="37"/>
      <c r="L329" s="37">
        <f>+J338</f>
        <v>7.4541987641276863</v>
      </c>
      <c r="M329" s="109">
        <f>+'tasa cif'!G9</f>
        <v>0.76985269116945931</v>
      </c>
      <c r="N329" s="37">
        <f>+L329*M329</f>
        <v>5.7386349790757567</v>
      </c>
      <c r="O329" s="505" t="s">
        <v>225</v>
      </c>
      <c r="P329" s="505"/>
      <c r="Q329" s="35">
        <f>+E338</f>
        <v>2.9944733333333331</v>
      </c>
      <c r="R329" s="38"/>
    </row>
    <row r="330" spans="1:18" ht="15.75" x14ac:dyDescent="0.25">
      <c r="A330" s="50"/>
      <c r="B330" s="14" t="s">
        <v>233</v>
      </c>
      <c r="C330" s="396">
        <v>1</v>
      </c>
      <c r="D330" s="51">
        <f>+'kardex reactivos 1'!G331</f>
        <v>5.340000000000001E-2</v>
      </c>
      <c r="E330" s="51">
        <f>+C330*D330</f>
        <v>5.340000000000001E-2</v>
      </c>
      <c r="F330" s="37"/>
      <c r="G330" s="37"/>
      <c r="H330" s="37"/>
      <c r="I330" s="37"/>
      <c r="J330" s="37"/>
      <c r="K330" s="37"/>
      <c r="L330" s="37"/>
      <c r="M330" s="37"/>
      <c r="N330" s="37"/>
      <c r="O330" s="505" t="s">
        <v>226</v>
      </c>
      <c r="P330" s="505"/>
      <c r="Q330">
        <f>+J338</f>
        <v>7.4541987641276863</v>
      </c>
      <c r="R330" s="38"/>
    </row>
    <row r="331" spans="1:18" ht="15.75" x14ac:dyDescent="0.25">
      <c r="A331" s="50"/>
      <c r="B331" s="14" t="s">
        <v>234</v>
      </c>
      <c r="C331" s="396">
        <v>1</v>
      </c>
      <c r="D331" s="51">
        <f>+'kardex reactivos 1'!G353</f>
        <v>3.4979999999999983E-2</v>
      </c>
      <c r="E331" s="51">
        <f>+C331*D331</f>
        <v>3.4979999999999983E-2</v>
      </c>
      <c r="F331" s="37"/>
      <c r="G331" s="37"/>
      <c r="H331" s="37"/>
      <c r="I331" s="37"/>
      <c r="J331" s="37"/>
      <c r="K331" s="37"/>
      <c r="L331" s="37"/>
      <c r="M331" s="37"/>
      <c r="N331" s="37"/>
      <c r="O331" s="43" t="s">
        <v>227</v>
      </c>
      <c r="P331" s="331"/>
      <c r="Q331">
        <f>+N338</f>
        <v>5.7386349790757567</v>
      </c>
      <c r="R331" s="38"/>
    </row>
    <row r="332" spans="1:18" ht="16.5" thickBot="1" x14ac:dyDescent="0.3">
      <c r="A332" s="50"/>
      <c r="B332" s="14" t="s">
        <v>98</v>
      </c>
      <c r="C332" s="396">
        <v>1</v>
      </c>
      <c r="D332" s="51">
        <f>+'kardex reactivos 1'!G375</f>
        <v>2.8859999999999993E-2</v>
      </c>
      <c r="E332" s="51">
        <f t="shared" ref="E332:E337" si="15">+C332*D332</f>
        <v>2.8859999999999993E-2</v>
      </c>
      <c r="F332" s="37"/>
      <c r="G332" s="37"/>
      <c r="H332" s="37"/>
      <c r="I332" s="37"/>
      <c r="J332" s="37"/>
      <c r="K332" s="37"/>
      <c r="L332" s="37"/>
      <c r="M332" s="37"/>
      <c r="N332" s="37"/>
      <c r="O332" s="43"/>
      <c r="P332" s="331"/>
      <c r="Q332" s="356">
        <f>SUM(Q329:Q331)</f>
        <v>16.187307076536776</v>
      </c>
      <c r="R332" s="38"/>
    </row>
    <row r="333" spans="1:18" ht="16.5" thickTop="1" x14ac:dyDescent="0.25">
      <c r="A333" s="50"/>
      <c r="B333" s="14" t="s">
        <v>99</v>
      </c>
      <c r="C333" s="396">
        <v>1.5</v>
      </c>
      <c r="D333" s="51">
        <f>+'kardex reactivos 1'!G400</f>
        <v>3.7999999999999992E-2</v>
      </c>
      <c r="E333" s="51">
        <f t="shared" si="15"/>
        <v>5.6999999999999988E-2</v>
      </c>
      <c r="F333" s="37"/>
      <c r="G333" s="37"/>
      <c r="H333" s="37"/>
      <c r="I333" s="37"/>
      <c r="J333" s="37"/>
      <c r="K333" s="37"/>
      <c r="L333" s="37"/>
      <c r="M333" s="37"/>
      <c r="N333" s="37"/>
      <c r="O333" s="43"/>
      <c r="P333" s="331"/>
      <c r="R333" s="38"/>
    </row>
    <row r="334" spans="1:18" ht="15.75" x14ac:dyDescent="0.25">
      <c r="A334" s="50"/>
      <c r="B334" s="14" t="s">
        <v>115</v>
      </c>
      <c r="C334" s="396">
        <v>2</v>
      </c>
      <c r="D334" s="51">
        <f>+'kardex reactivos 2'!G48</f>
        <v>0.52639999999999998</v>
      </c>
      <c r="E334" s="51">
        <f t="shared" si="15"/>
        <v>1.0528</v>
      </c>
      <c r="F334" s="37"/>
      <c r="G334" s="37"/>
      <c r="H334" s="37"/>
      <c r="I334" s="37"/>
      <c r="J334" s="37"/>
      <c r="K334" s="37"/>
      <c r="L334" s="37"/>
      <c r="M334" s="37"/>
      <c r="N334" s="37"/>
      <c r="O334" s="43"/>
      <c r="P334" s="331"/>
      <c r="R334" s="38"/>
    </row>
    <row r="335" spans="1:18" ht="15.75" x14ac:dyDescent="0.25">
      <c r="A335" s="50"/>
      <c r="B335" s="14" t="s">
        <v>235</v>
      </c>
      <c r="C335" s="396">
        <v>1</v>
      </c>
      <c r="D335" s="51">
        <f>+'kardex reactivos 1'!G435</f>
        <v>8.2959999999999992E-2</v>
      </c>
      <c r="E335" s="51">
        <f t="shared" si="15"/>
        <v>8.2959999999999992E-2</v>
      </c>
      <c r="F335" s="37"/>
      <c r="G335" s="37"/>
      <c r="H335" s="37"/>
      <c r="I335" s="37"/>
      <c r="J335" s="37"/>
      <c r="K335" s="37"/>
      <c r="L335" s="37"/>
      <c r="M335" s="37"/>
      <c r="N335" s="37"/>
      <c r="O335" s="43"/>
      <c r="P335" s="331"/>
      <c r="R335" s="38"/>
    </row>
    <row r="336" spans="1:18" ht="15.75" x14ac:dyDescent="0.25">
      <c r="A336" s="50"/>
      <c r="B336" s="14" t="s">
        <v>565</v>
      </c>
      <c r="C336" s="396">
        <v>2.5</v>
      </c>
      <c r="D336" s="51">
        <f>+'kardex reactivos 1'!G519</f>
        <v>0.28999999999999998</v>
      </c>
      <c r="E336" s="51">
        <f t="shared" si="15"/>
        <v>0.72499999999999998</v>
      </c>
      <c r="F336" s="37"/>
      <c r="G336" s="37"/>
      <c r="H336" s="37"/>
      <c r="I336" s="37"/>
      <c r="J336" s="37"/>
      <c r="K336" s="37"/>
      <c r="L336" s="37"/>
      <c r="M336" s="37"/>
      <c r="N336" s="37"/>
      <c r="O336" s="43"/>
      <c r="P336" s="331"/>
      <c r="R336" s="38"/>
    </row>
    <row r="337" spans="1:18" ht="15.75" x14ac:dyDescent="0.25">
      <c r="A337" s="50"/>
      <c r="B337" s="14" t="s">
        <v>93</v>
      </c>
      <c r="C337" s="396">
        <v>0.5</v>
      </c>
      <c r="D337" s="51">
        <f>+'kardex reactivos 1'!G280</f>
        <v>4.2146666666666666E-2</v>
      </c>
      <c r="E337" s="51">
        <f t="shared" si="15"/>
        <v>2.1073333333333333E-2</v>
      </c>
      <c r="F337" s="37"/>
      <c r="G337" s="37"/>
      <c r="H337" s="37"/>
      <c r="I337" s="37"/>
      <c r="J337" s="37"/>
      <c r="K337" s="37"/>
      <c r="L337" s="37"/>
      <c r="M337" s="37"/>
      <c r="N337" s="37"/>
      <c r="O337" s="43"/>
      <c r="P337" s="331"/>
      <c r="Q337" s="39"/>
      <c r="R337" s="38"/>
    </row>
    <row r="338" spans="1:18" ht="15.75" x14ac:dyDescent="0.25">
      <c r="A338" s="489" t="s">
        <v>220</v>
      </c>
      <c r="B338" s="489"/>
      <c r="C338" s="489"/>
      <c r="D338" s="489"/>
      <c r="E338" s="52">
        <f>SUM(E329:E337)</f>
        <v>2.9944733333333331</v>
      </c>
      <c r="F338" s="37"/>
      <c r="G338" s="37"/>
      <c r="H338" s="489" t="s">
        <v>220</v>
      </c>
      <c r="I338" s="489"/>
      <c r="J338" s="53">
        <f>+J329</f>
        <v>7.4541987641276863</v>
      </c>
      <c r="K338" s="37"/>
      <c r="L338" s="37"/>
      <c r="M338" s="37"/>
      <c r="N338" s="37">
        <f>+N329</f>
        <v>5.7386349790757567</v>
      </c>
      <c r="O338" s="490"/>
      <c r="P338" s="491"/>
      <c r="Q338" s="367"/>
      <c r="R338" s="357"/>
    </row>
    <row r="341" spans="1:18" ht="15.75" x14ac:dyDescent="0.25">
      <c r="A341" s="506" t="s">
        <v>208</v>
      </c>
      <c r="B341" s="507"/>
      <c r="C341" s="507"/>
      <c r="D341" s="507"/>
      <c r="E341" s="507"/>
      <c r="F341" s="507"/>
      <c r="G341" s="507"/>
      <c r="H341" s="507"/>
      <c r="I341" s="507"/>
      <c r="J341" s="507"/>
      <c r="K341" s="507"/>
      <c r="L341" s="507"/>
      <c r="M341" s="507"/>
      <c r="N341" s="507"/>
      <c r="O341" s="507"/>
      <c r="P341" s="507"/>
      <c r="Q341" s="507"/>
      <c r="R341" s="508"/>
    </row>
    <row r="342" spans="1:18" ht="15.75" x14ac:dyDescent="0.25">
      <c r="A342" s="340" t="s">
        <v>209</v>
      </c>
      <c r="B342" s="339"/>
      <c r="C342" s="39"/>
      <c r="D342" s="55"/>
      <c r="E342" s="39"/>
      <c r="F342" s="39"/>
      <c r="G342" s="39"/>
      <c r="H342" s="494"/>
      <c r="I342" s="494"/>
      <c r="J342" s="494"/>
      <c r="K342" s="39"/>
      <c r="L342" s="39"/>
      <c r="M342" s="39"/>
      <c r="N342" s="39"/>
      <c r="O342" s="39"/>
      <c r="P342" s="39"/>
      <c r="Q342" s="39"/>
      <c r="R342" s="42"/>
    </row>
    <row r="343" spans="1:18" ht="15.75" x14ac:dyDescent="0.25">
      <c r="A343" s="340" t="s">
        <v>228</v>
      </c>
      <c r="B343" s="493" t="s">
        <v>567</v>
      </c>
      <c r="C343" s="493"/>
      <c r="D343" s="55"/>
      <c r="E343" s="39"/>
      <c r="F343" s="39"/>
      <c r="G343" s="39"/>
      <c r="H343" s="494"/>
      <c r="I343" s="494"/>
      <c r="J343" s="494"/>
      <c r="K343" s="39"/>
      <c r="L343" s="39"/>
      <c r="M343" s="39"/>
      <c r="N343" s="39"/>
      <c r="O343" s="39"/>
      <c r="P343" s="39"/>
      <c r="Q343" s="39"/>
      <c r="R343" s="42"/>
    </row>
    <row r="344" spans="1:18" ht="15.75" x14ac:dyDescent="0.25">
      <c r="A344" s="492" t="s">
        <v>210</v>
      </c>
      <c r="B344" s="493"/>
      <c r="C344" s="339"/>
      <c r="D344" s="56"/>
      <c r="E344" s="39"/>
      <c r="F344" s="39"/>
      <c r="G344" s="39"/>
      <c r="H344" s="494"/>
      <c r="I344" s="494"/>
      <c r="J344" s="494"/>
      <c r="K344" s="39"/>
      <c r="L344" s="39"/>
      <c r="M344" s="39"/>
      <c r="N344" s="39"/>
      <c r="O344" s="39"/>
      <c r="P344" s="39"/>
      <c r="Q344" s="39"/>
      <c r="R344" s="42"/>
    </row>
    <row r="345" spans="1:18" ht="15.75" x14ac:dyDescent="0.25">
      <c r="A345" s="495" t="s">
        <v>211</v>
      </c>
      <c r="B345" s="494"/>
      <c r="C345" s="494"/>
      <c r="D345" s="55"/>
      <c r="E345" s="39"/>
      <c r="F345" s="39"/>
      <c r="G345" s="39"/>
      <c r="H345" s="494"/>
      <c r="I345" s="494"/>
      <c r="J345" s="494"/>
      <c r="K345" s="39"/>
      <c r="L345" s="39"/>
      <c r="M345" s="39"/>
      <c r="N345" s="39"/>
      <c r="O345" s="39"/>
      <c r="P345" s="39"/>
      <c r="Q345" s="39"/>
      <c r="R345" s="42"/>
    </row>
    <row r="346" spans="1:18" ht="15.75" x14ac:dyDescent="0.25">
      <c r="A346" s="496" t="s">
        <v>212</v>
      </c>
      <c r="B346" s="496"/>
      <c r="C346" s="496"/>
      <c r="D346" s="496"/>
      <c r="E346" s="496"/>
      <c r="F346" s="496" t="s">
        <v>213</v>
      </c>
      <c r="G346" s="496"/>
      <c r="H346" s="496"/>
      <c r="I346" s="496"/>
      <c r="J346" s="496"/>
      <c r="K346" s="497" t="s">
        <v>221</v>
      </c>
      <c r="L346" s="497"/>
      <c r="M346" s="497"/>
      <c r="N346" s="497"/>
      <c r="O346" s="496" t="s">
        <v>222</v>
      </c>
      <c r="P346" s="496"/>
      <c r="Q346" s="496"/>
      <c r="R346" s="496"/>
    </row>
    <row r="347" spans="1:18" ht="31.5" x14ac:dyDescent="0.25">
      <c r="A347" s="341" t="s">
        <v>0</v>
      </c>
      <c r="B347" s="341" t="s">
        <v>1</v>
      </c>
      <c r="C347" s="341" t="s">
        <v>214</v>
      </c>
      <c r="D347" s="57" t="s">
        <v>215</v>
      </c>
      <c r="E347" s="49" t="s">
        <v>216</v>
      </c>
      <c r="F347" s="341" t="s">
        <v>0</v>
      </c>
      <c r="G347" s="49" t="s">
        <v>217</v>
      </c>
      <c r="H347" s="341" t="s">
        <v>218</v>
      </c>
      <c r="I347" s="49" t="s">
        <v>219</v>
      </c>
      <c r="J347" s="49" t="s">
        <v>216</v>
      </c>
      <c r="K347" s="341" t="s">
        <v>0</v>
      </c>
      <c r="L347" s="49" t="s">
        <v>321</v>
      </c>
      <c r="M347" s="49" t="s">
        <v>224</v>
      </c>
      <c r="N347" s="49" t="s">
        <v>216</v>
      </c>
      <c r="O347" s="496"/>
      <c r="P347" s="496"/>
      <c r="Q347" s="496"/>
      <c r="R347" s="496"/>
    </row>
    <row r="348" spans="1:18" ht="15.75" x14ac:dyDescent="0.25">
      <c r="A348" s="50"/>
      <c r="B348" s="14" t="s">
        <v>120</v>
      </c>
      <c r="C348" s="396">
        <v>1</v>
      </c>
      <c r="D348" s="51">
        <f>+'kardex reactivos 2'!G116</f>
        <v>4.9999999999999996E-2</v>
      </c>
      <c r="E348" s="51">
        <f>+C348*D348</f>
        <v>4.9999999999999996E-2</v>
      </c>
      <c r="F348" s="37"/>
      <c r="G348" s="37"/>
      <c r="H348" s="37">
        <f>+'Minutos MOD por exmen '!C22</f>
        <v>0.33333333333333331</v>
      </c>
      <c r="I348" s="100">
        <f>+'tasa MOD '!I37</f>
        <v>4.4725192584766118</v>
      </c>
      <c r="J348" s="37">
        <f>+I348*H348</f>
        <v>1.4908397528255373</v>
      </c>
      <c r="K348" s="37"/>
      <c r="L348" s="37">
        <f>+J357</f>
        <v>1.4908397528255373</v>
      </c>
      <c r="M348" s="109">
        <f>+'tasa cif'!G9</f>
        <v>0.76985269116945931</v>
      </c>
      <c r="N348" s="37">
        <f>+L348*M348</f>
        <v>1.1477269958151515</v>
      </c>
      <c r="O348" s="505" t="s">
        <v>225</v>
      </c>
      <c r="P348" s="505"/>
      <c r="Q348" s="35">
        <f>+E357</f>
        <v>1.9420500000000001</v>
      </c>
      <c r="R348" s="38"/>
    </row>
    <row r="349" spans="1:18" ht="15.75" x14ac:dyDescent="0.25">
      <c r="A349" s="50"/>
      <c r="B349" s="14" t="s">
        <v>122</v>
      </c>
      <c r="C349" s="396">
        <v>0.5</v>
      </c>
      <c r="D349" s="51">
        <f>+'kardex reactivos 2'!G128</f>
        <v>0.15</v>
      </c>
      <c r="E349" s="51">
        <f>+C349*D349</f>
        <v>7.4999999999999997E-2</v>
      </c>
      <c r="F349" s="37"/>
      <c r="G349" s="37"/>
      <c r="H349" s="37"/>
      <c r="I349" s="37"/>
      <c r="J349" s="37"/>
      <c r="K349" s="37"/>
      <c r="L349" s="37"/>
      <c r="M349" s="37"/>
      <c r="N349" s="37"/>
      <c r="O349" s="505" t="s">
        <v>226</v>
      </c>
      <c r="P349" s="505"/>
      <c r="Q349">
        <f>+J357</f>
        <v>1.4908397528255373</v>
      </c>
      <c r="R349" s="38"/>
    </row>
    <row r="350" spans="1:18" ht="15.75" x14ac:dyDescent="0.25">
      <c r="A350" s="50"/>
      <c r="B350" s="312" t="s">
        <v>124</v>
      </c>
      <c r="C350" s="396">
        <v>1</v>
      </c>
      <c r="D350" s="51">
        <f>+'kardex reactivos 2'!G142</f>
        <v>0.10075000000000001</v>
      </c>
      <c r="E350" s="51">
        <f>+C350*D350</f>
        <v>0.10075000000000001</v>
      </c>
      <c r="F350" s="37"/>
      <c r="G350" s="37"/>
      <c r="H350" s="37"/>
      <c r="I350" s="37"/>
      <c r="J350" s="37"/>
      <c r="K350" s="37"/>
      <c r="L350" s="37"/>
      <c r="M350" s="37"/>
      <c r="N350" s="37"/>
      <c r="O350" s="43" t="s">
        <v>227</v>
      </c>
      <c r="P350" s="338"/>
      <c r="Q350">
        <f>+N357</f>
        <v>1.1477269958151515</v>
      </c>
      <c r="R350" s="38"/>
    </row>
    <row r="351" spans="1:18" ht="16.5" thickBot="1" x14ac:dyDescent="0.3">
      <c r="A351" s="50"/>
      <c r="B351" s="312" t="s">
        <v>568</v>
      </c>
      <c r="C351" s="396">
        <v>1.5</v>
      </c>
      <c r="D351" s="51">
        <f>+'kardex reactivos 2'!G155</f>
        <v>0.05</v>
      </c>
      <c r="E351" s="51">
        <f t="shared" ref="E351:E356" si="16">+C351*D351</f>
        <v>7.5000000000000011E-2</v>
      </c>
      <c r="F351" s="37"/>
      <c r="G351" s="37"/>
      <c r="H351" s="37"/>
      <c r="I351" s="37"/>
      <c r="J351" s="37"/>
      <c r="K351" s="37"/>
      <c r="L351" s="37"/>
      <c r="M351" s="37"/>
      <c r="N351" s="37"/>
      <c r="O351" s="43"/>
      <c r="P351" s="338"/>
      <c r="Q351" s="356">
        <f>SUM(Q348:Q350)</f>
        <v>4.580616748640689</v>
      </c>
      <c r="R351" s="38"/>
    </row>
    <row r="352" spans="1:18" ht="16.5" thickTop="1" x14ac:dyDescent="0.25">
      <c r="A352" s="50"/>
      <c r="B352" s="14" t="s">
        <v>128</v>
      </c>
      <c r="C352" s="396">
        <v>1.5</v>
      </c>
      <c r="D352" s="51">
        <f>+'kardex reactivos 2'!G170</f>
        <v>0.316</v>
      </c>
      <c r="E352" s="51">
        <f t="shared" si="16"/>
        <v>0.47399999999999998</v>
      </c>
      <c r="F352" s="37"/>
      <c r="G352" s="37"/>
      <c r="H352" s="37"/>
      <c r="I352" s="37"/>
      <c r="J352" s="37"/>
      <c r="K352" s="37"/>
      <c r="L352" s="37"/>
      <c r="M352" s="37"/>
      <c r="N352" s="37"/>
      <c r="O352" s="43"/>
      <c r="P352" s="338"/>
      <c r="R352" s="38"/>
    </row>
    <row r="353" spans="1:18" ht="15.75" x14ac:dyDescent="0.25">
      <c r="A353" s="50"/>
      <c r="B353" s="14" t="s">
        <v>129</v>
      </c>
      <c r="C353" s="396">
        <v>1.5</v>
      </c>
      <c r="D353" s="51">
        <f>+'kardex reactivos 2'!G184</f>
        <v>0.14560000000000001</v>
      </c>
      <c r="E353" s="51">
        <f t="shared" si="16"/>
        <v>0.21840000000000001</v>
      </c>
      <c r="F353" s="37"/>
      <c r="G353" s="37"/>
      <c r="H353" s="37"/>
      <c r="I353" s="37"/>
      <c r="J353" s="37"/>
      <c r="K353" s="37"/>
      <c r="L353" s="37"/>
      <c r="M353" s="37"/>
      <c r="N353" s="37"/>
      <c r="O353" s="43"/>
      <c r="P353" s="338"/>
      <c r="R353" s="38"/>
    </row>
    <row r="354" spans="1:18" ht="15.75" x14ac:dyDescent="0.25">
      <c r="A354" s="50"/>
      <c r="B354" s="14" t="s">
        <v>130</v>
      </c>
      <c r="C354" s="396">
        <v>1.5</v>
      </c>
      <c r="D354" s="51">
        <f>+'kardex reactivos 2'!G197</f>
        <v>0.18539999999999998</v>
      </c>
      <c r="E354" s="51">
        <f t="shared" si="16"/>
        <v>0.27809999999999996</v>
      </c>
      <c r="F354" s="37"/>
      <c r="G354" s="37"/>
      <c r="H354" s="37"/>
      <c r="I354" s="37"/>
      <c r="J354" s="37"/>
      <c r="K354" s="37"/>
      <c r="L354" s="37"/>
      <c r="M354" s="37"/>
      <c r="N354" s="37"/>
      <c r="O354" s="43"/>
      <c r="P354" s="338"/>
      <c r="R354" s="38"/>
    </row>
    <row r="355" spans="1:18" ht="15.75" x14ac:dyDescent="0.25">
      <c r="A355" s="50"/>
      <c r="B355" s="14" t="s">
        <v>131</v>
      </c>
      <c r="C355" s="396">
        <v>1.5</v>
      </c>
      <c r="D355" s="51">
        <f>+'kardex reactivos 2'!G210</f>
        <v>0.2</v>
      </c>
      <c r="E355" s="51">
        <f t="shared" si="16"/>
        <v>0.30000000000000004</v>
      </c>
      <c r="F355" s="37"/>
      <c r="G355" s="37"/>
      <c r="H355" s="37"/>
      <c r="I355" s="37"/>
      <c r="J355" s="37"/>
      <c r="K355" s="37"/>
      <c r="L355" s="37"/>
      <c r="M355" s="37"/>
      <c r="N355" s="37"/>
      <c r="O355" s="43"/>
      <c r="P355" s="338"/>
      <c r="R355" s="38"/>
    </row>
    <row r="356" spans="1:18" ht="15.75" x14ac:dyDescent="0.25">
      <c r="A356" s="50"/>
      <c r="B356" s="14" t="s">
        <v>132</v>
      </c>
      <c r="C356" s="396">
        <v>1.5</v>
      </c>
      <c r="D356" s="51">
        <f>+'kardex reactivos 2'!G224</f>
        <v>0.24719999999999998</v>
      </c>
      <c r="E356" s="51">
        <f t="shared" si="16"/>
        <v>0.37079999999999996</v>
      </c>
      <c r="F356" s="37"/>
      <c r="G356" s="37"/>
      <c r="H356" s="37"/>
      <c r="I356" s="37"/>
      <c r="J356" s="37"/>
      <c r="K356" s="37"/>
      <c r="L356" s="37"/>
      <c r="M356" s="37"/>
      <c r="N356" s="37"/>
      <c r="O356" s="43"/>
      <c r="P356" s="338"/>
      <c r="R356" s="38"/>
    </row>
    <row r="357" spans="1:18" ht="15.75" x14ac:dyDescent="0.25">
      <c r="A357" s="489" t="s">
        <v>220</v>
      </c>
      <c r="B357" s="489"/>
      <c r="C357" s="489"/>
      <c r="D357" s="489"/>
      <c r="E357" s="52">
        <f>SUM(E348:E356)</f>
        <v>1.9420500000000001</v>
      </c>
      <c r="F357" s="37"/>
      <c r="G357" s="37"/>
      <c r="H357" s="489" t="s">
        <v>220</v>
      </c>
      <c r="I357" s="489"/>
      <c r="J357" s="53">
        <f>+J348</f>
        <v>1.4908397528255373</v>
      </c>
      <c r="K357" s="37"/>
      <c r="L357" s="37"/>
      <c r="M357" s="37"/>
      <c r="N357" s="37">
        <f>+N348</f>
        <v>1.1477269958151515</v>
      </c>
      <c r="O357" s="490"/>
      <c r="P357" s="491"/>
      <c r="Q357" s="367"/>
      <c r="R357" s="357"/>
    </row>
    <row r="362" spans="1:18" ht="15.75" x14ac:dyDescent="0.25">
      <c r="A362" s="506" t="s">
        <v>208</v>
      </c>
      <c r="B362" s="507"/>
      <c r="C362" s="507"/>
      <c r="D362" s="507"/>
      <c r="E362" s="507"/>
      <c r="F362" s="507"/>
      <c r="G362" s="507"/>
      <c r="H362" s="507"/>
      <c r="I362" s="507"/>
      <c r="J362" s="507"/>
      <c r="K362" s="507"/>
      <c r="L362" s="507"/>
      <c r="M362" s="507"/>
      <c r="N362" s="507"/>
      <c r="O362" s="507"/>
      <c r="P362" s="507"/>
      <c r="Q362" s="507"/>
      <c r="R362" s="508"/>
    </row>
    <row r="363" spans="1:18" ht="15.75" x14ac:dyDescent="0.25">
      <c r="A363" s="340" t="s">
        <v>209</v>
      </c>
      <c r="B363" s="339"/>
      <c r="C363" s="39"/>
      <c r="D363" s="55"/>
      <c r="E363" s="39"/>
      <c r="F363" s="39"/>
      <c r="G363" s="39"/>
      <c r="H363" s="494"/>
      <c r="I363" s="494"/>
      <c r="J363" s="494"/>
      <c r="K363" s="39"/>
      <c r="L363" s="39"/>
      <c r="M363" s="39"/>
      <c r="N363" s="39"/>
      <c r="O363" s="39"/>
      <c r="P363" s="39"/>
      <c r="Q363" s="39"/>
      <c r="R363" s="42"/>
    </row>
    <row r="364" spans="1:18" ht="15.75" x14ac:dyDescent="0.25">
      <c r="A364" s="340" t="s">
        <v>228</v>
      </c>
      <c r="B364" s="493" t="s">
        <v>570</v>
      </c>
      <c r="C364" s="493"/>
      <c r="D364" s="55"/>
      <c r="E364" s="39"/>
      <c r="F364" s="39"/>
      <c r="G364" s="39"/>
      <c r="H364" s="494"/>
      <c r="I364" s="494"/>
      <c r="J364" s="494"/>
      <c r="K364" s="39"/>
      <c r="L364" s="39"/>
      <c r="M364" s="39"/>
      <c r="N364" s="39"/>
      <c r="O364" s="39"/>
      <c r="P364" s="39"/>
      <c r="Q364" s="39"/>
      <c r="R364" s="42"/>
    </row>
    <row r="365" spans="1:18" ht="15.75" x14ac:dyDescent="0.25">
      <c r="A365" s="492" t="s">
        <v>210</v>
      </c>
      <c r="B365" s="493"/>
      <c r="C365" s="339"/>
      <c r="D365" s="56"/>
      <c r="E365" s="39"/>
      <c r="F365" s="39"/>
      <c r="G365" s="39"/>
      <c r="H365" s="494"/>
      <c r="I365" s="494"/>
      <c r="J365" s="494"/>
      <c r="K365" s="39"/>
      <c r="L365" s="39"/>
      <c r="M365" s="39"/>
      <c r="N365" s="39"/>
      <c r="O365" s="39"/>
      <c r="P365" s="39"/>
      <c r="Q365" s="39"/>
      <c r="R365" s="42"/>
    </row>
    <row r="366" spans="1:18" ht="15.75" x14ac:dyDescent="0.25">
      <c r="A366" s="495" t="s">
        <v>211</v>
      </c>
      <c r="B366" s="494"/>
      <c r="C366" s="494"/>
      <c r="D366" s="55"/>
      <c r="E366" s="39"/>
      <c r="F366" s="39"/>
      <c r="G366" s="39"/>
      <c r="H366" s="494"/>
      <c r="I366" s="494"/>
      <c r="J366" s="494"/>
      <c r="K366" s="39"/>
      <c r="L366" s="39"/>
      <c r="M366" s="39"/>
      <c r="N366" s="39"/>
      <c r="O366" s="39"/>
      <c r="P366" s="39"/>
      <c r="Q366" s="39"/>
      <c r="R366" s="42"/>
    </row>
    <row r="367" spans="1:18" ht="15.75" x14ac:dyDescent="0.25">
      <c r="A367" s="496" t="s">
        <v>212</v>
      </c>
      <c r="B367" s="496"/>
      <c r="C367" s="496"/>
      <c r="D367" s="496"/>
      <c r="E367" s="496"/>
      <c r="F367" s="496" t="s">
        <v>213</v>
      </c>
      <c r="G367" s="496"/>
      <c r="H367" s="496"/>
      <c r="I367" s="496"/>
      <c r="J367" s="496"/>
      <c r="K367" s="497" t="s">
        <v>221</v>
      </c>
      <c r="L367" s="497"/>
      <c r="M367" s="497"/>
      <c r="N367" s="497"/>
      <c r="O367" s="496" t="s">
        <v>222</v>
      </c>
      <c r="P367" s="496"/>
      <c r="Q367" s="496"/>
      <c r="R367" s="496"/>
    </row>
    <row r="368" spans="1:18" ht="31.5" x14ac:dyDescent="0.25">
      <c r="A368" s="341" t="s">
        <v>0</v>
      </c>
      <c r="B368" s="341" t="s">
        <v>1</v>
      </c>
      <c r="C368" s="341" t="s">
        <v>214</v>
      </c>
      <c r="D368" s="57" t="s">
        <v>215</v>
      </c>
      <c r="E368" s="49" t="s">
        <v>216</v>
      </c>
      <c r="F368" s="341" t="s">
        <v>0</v>
      </c>
      <c r="G368" s="49" t="s">
        <v>217</v>
      </c>
      <c r="H368" s="341" t="s">
        <v>218</v>
      </c>
      <c r="I368" s="49" t="s">
        <v>219</v>
      </c>
      <c r="J368" s="49" t="s">
        <v>216</v>
      </c>
      <c r="K368" s="341" t="s">
        <v>0</v>
      </c>
      <c r="L368" s="49" t="s">
        <v>321</v>
      </c>
      <c r="M368" s="49" t="s">
        <v>224</v>
      </c>
      <c r="N368" s="49" t="s">
        <v>216</v>
      </c>
      <c r="O368" s="496"/>
      <c r="P368" s="496"/>
      <c r="Q368" s="496"/>
      <c r="R368" s="496"/>
    </row>
    <row r="369" spans="1:18" ht="15.75" x14ac:dyDescent="0.25">
      <c r="A369" s="50"/>
      <c r="B369" s="14" t="s">
        <v>172</v>
      </c>
      <c r="C369" s="396">
        <v>3.5</v>
      </c>
      <c r="D369" s="51">
        <f>+'kardex reactivos 3'!G175</f>
        <v>4.5999999999999999E-2</v>
      </c>
      <c r="E369" s="51">
        <f>+C369*D369</f>
        <v>0.161</v>
      </c>
      <c r="F369" s="37"/>
      <c r="G369" s="37"/>
      <c r="H369" s="37">
        <f>+'Minutos MOD por exmen '!C23</f>
        <v>0.25</v>
      </c>
      <c r="I369" s="100">
        <f>+'tasa MOD '!I37</f>
        <v>4.4725192584766118</v>
      </c>
      <c r="J369" s="37">
        <f>+I369*H369</f>
        <v>1.118129814619153</v>
      </c>
      <c r="K369" s="37"/>
      <c r="L369" s="37">
        <f>+J373</f>
        <v>1.118129814619153</v>
      </c>
      <c r="M369" s="109">
        <f>+'tasa cif'!G9</f>
        <v>0.76985269116945931</v>
      </c>
      <c r="N369" s="37">
        <f>+L369*M369</f>
        <v>0.86079524686136355</v>
      </c>
      <c r="O369" s="505" t="s">
        <v>225</v>
      </c>
      <c r="P369" s="505"/>
      <c r="Q369" s="35">
        <f>+E373</f>
        <v>0.161</v>
      </c>
      <c r="R369" s="38"/>
    </row>
    <row r="370" spans="1:18" ht="15.75" x14ac:dyDescent="0.25">
      <c r="A370" s="50"/>
      <c r="B370" s="14"/>
      <c r="C370" s="337"/>
      <c r="D370" s="51">
        <f>+'kardex reactivos 2'!G161</f>
        <v>0</v>
      </c>
      <c r="E370" s="51">
        <f>+C370*D370</f>
        <v>0</v>
      </c>
      <c r="F370" s="37"/>
      <c r="G370" s="37"/>
      <c r="H370" s="37"/>
      <c r="I370" s="37"/>
      <c r="J370" s="37"/>
      <c r="K370" s="37"/>
      <c r="L370" s="37"/>
      <c r="M370" s="37"/>
      <c r="N370" s="37"/>
      <c r="O370" s="505" t="s">
        <v>226</v>
      </c>
      <c r="P370" s="505"/>
      <c r="Q370">
        <f>+J373</f>
        <v>1.118129814619153</v>
      </c>
      <c r="R370" s="38"/>
    </row>
    <row r="371" spans="1:18" ht="15.75" x14ac:dyDescent="0.25">
      <c r="A371" s="50"/>
      <c r="B371" s="312"/>
      <c r="C371" s="337"/>
      <c r="D371" s="51">
        <f>+'kardex reactivos 2'!G175</f>
        <v>0</v>
      </c>
      <c r="E371" s="51">
        <f>+C371*D371</f>
        <v>0</v>
      </c>
      <c r="F371" s="37"/>
      <c r="G371" s="37"/>
      <c r="H371" s="37"/>
      <c r="I371" s="37"/>
      <c r="J371" s="37"/>
      <c r="K371" s="37"/>
      <c r="L371" s="37"/>
      <c r="M371" s="37"/>
      <c r="N371" s="37"/>
      <c r="O371" s="43" t="s">
        <v>227</v>
      </c>
      <c r="P371" s="338"/>
      <c r="Q371">
        <f>+N373</f>
        <v>0.86079524686136355</v>
      </c>
      <c r="R371" s="38"/>
    </row>
    <row r="372" spans="1:18" ht="16.5" thickBot="1" x14ac:dyDescent="0.3">
      <c r="A372" s="50"/>
      <c r="B372" s="312"/>
      <c r="C372" s="337"/>
      <c r="D372" s="51">
        <f>+'kardex reactivos 2'!G188</f>
        <v>0</v>
      </c>
      <c r="E372" s="51">
        <f t="shared" ref="E372" si="17">+C372*D372</f>
        <v>0</v>
      </c>
      <c r="F372" s="37"/>
      <c r="G372" s="37"/>
      <c r="H372" s="37"/>
      <c r="I372" s="37"/>
      <c r="J372" s="37"/>
      <c r="K372" s="37"/>
      <c r="L372" s="37"/>
      <c r="M372" s="37"/>
      <c r="N372" s="37"/>
      <c r="O372" s="43"/>
      <c r="P372" s="338"/>
      <c r="Q372" s="356">
        <f>SUM(Q369:Q371)</f>
        <v>2.1399250614805165</v>
      </c>
      <c r="R372" s="38"/>
    </row>
    <row r="373" spans="1:18" ht="16.5" thickTop="1" x14ac:dyDescent="0.25">
      <c r="A373" s="489" t="s">
        <v>220</v>
      </c>
      <c r="B373" s="489"/>
      <c r="C373" s="489"/>
      <c r="D373" s="489"/>
      <c r="E373" s="52">
        <f>SUM(E369:E372)</f>
        <v>0.161</v>
      </c>
      <c r="F373" s="37"/>
      <c r="G373" s="37"/>
      <c r="H373" s="489" t="s">
        <v>220</v>
      </c>
      <c r="I373" s="489"/>
      <c r="J373" s="53">
        <f>+J369</f>
        <v>1.118129814619153</v>
      </c>
      <c r="K373" s="37"/>
      <c r="L373" s="37"/>
      <c r="M373" s="37"/>
      <c r="N373" s="37">
        <f>+N369</f>
        <v>0.86079524686136355</v>
      </c>
      <c r="O373" s="490"/>
      <c r="P373" s="491"/>
      <c r="Q373" s="367"/>
      <c r="R373" s="357"/>
    </row>
    <row r="376" spans="1:18" ht="15.75" x14ac:dyDescent="0.25">
      <c r="A376" s="506" t="s">
        <v>208</v>
      </c>
      <c r="B376" s="507"/>
      <c r="C376" s="507"/>
      <c r="D376" s="507"/>
      <c r="E376" s="507"/>
      <c r="F376" s="507"/>
      <c r="G376" s="507"/>
      <c r="H376" s="507"/>
      <c r="I376" s="507"/>
      <c r="J376" s="507"/>
      <c r="K376" s="507"/>
      <c r="L376" s="507"/>
      <c r="M376" s="507"/>
      <c r="N376" s="507"/>
      <c r="O376" s="507"/>
      <c r="P376" s="507"/>
      <c r="Q376" s="507"/>
      <c r="R376" s="508"/>
    </row>
    <row r="377" spans="1:18" ht="15.75" x14ac:dyDescent="0.25">
      <c r="A377" s="340" t="s">
        <v>209</v>
      </c>
      <c r="B377" s="339"/>
      <c r="C377" s="39"/>
      <c r="D377" s="55"/>
      <c r="E377" s="39"/>
      <c r="F377" s="39"/>
      <c r="G377" s="39"/>
      <c r="H377" s="494"/>
      <c r="I377" s="494"/>
      <c r="J377" s="494"/>
      <c r="K377" s="39"/>
      <c r="L377" s="39"/>
      <c r="M377" s="39"/>
      <c r="N377" s="39"/>
      <c r="O377" s="39"/>
      <c r="P377" s="39"/>
      <c r="Q377" s="39"/>
      <c r="R377" s="42"/>
    </row>
    <row r="378" spans="1:18" ht="15.75" x14ac:dyDescent="0.25">
      <c r="A378" s="340" t="s">
        <v>228</v>
      </c>
      <c r="B378" s="493" t="s">
        <v>119</v>
      </c>
      <c r="C378" s="493"/>
      <c r="D378" s="55"/>
      <c r="E378" s="39"/>
      <c r="F378" s="39"/>
      <c r="G378" s="39"/>
      <c r="H378" s="494"/>
      <c r="I378" s="494"/>
      <c r="J378" s="494"/>
      <c r="K378" s="39"/>
      <c r="L378" s="39"/>
      <c r="M378" s="39"/>
      <c r="N378" s="39"/>
      <c r="O378" s="39"/>
      <c r="P378" s="39"/>
      <c r="Q378" s="39"/>
      <c r="R378" s="42"/>
    </row>
    <row r="379" spans="1:18" ht="15.75" x14ac:dyDescent="0.25">
      <c r="A379" s="492" t="s">
        <v>210</v>
      </c>
      <c r="B379" s="493"/>
      <c r="C379" s="339"/>
      <c r="D379" s="56"/>
      <c r="E379" s="39"/>
      <c r="F379" s="39"/>
      <c r="G379" s="39"/>
      <c r="H379" s="494"/>
      <c r="I379" s="494"/>
      <c r="J379" s="494"/>
      <c r="K379" s="39"/>
      <c r="L379" s="39"/>
      <c r="M379" s="39"/>
      <c r="N379" s="39"/>
      <c r="O379" s="39"/>
      <c r="P379" s="39"/>
      <c r="Q379" s="39"/>
      <c r="R379" s="42"/>
    </row>
    <row r="380" spans="1:18" ht="15.75" x14ac:dyDescent="0.25">
      <c r="A380" s="495" t="s">
        <v>211</v>
      </c>
      <c r="B380" s="494"/>
      <c r="C380" s="494"/>
      <c r="D380" s="55"/>
      <c r="E380" s="39"/>
      <c r="F380" s="39"/>
      <c r="G380" s="39"/>
      <c r="H380" s="494"/>
      <c r="I380" s="494"/>
      <c r="J380" s="494"/>
      <c r="K380" s="39"/>
      <c r="L380" s="39"/>
      <c r="M380" s="39"/>
      <c r="N380" s="39"/>
      <c r="O380" s="39"/>
      <c r="P380" s="39"/>
      <c r="Q380" s="39"/>
      <c r="R380" s="42"/>
    </row>
    <row r="381" spans="1:18" ht="15.75" x14ac:dyDescent="0.25">
      <c r="A381" s="496" t="s">
        <v>212</v>
      </c>
      <c r="B381" s="496"/>
      <c r="C381" s="496"/>
      <c r="D381" s="496"/>
      <c r="E381" s="496"/>
      <c r="F381" s="496" t="s">
        <v>213</v>
      </c>
      <c r="G381" s="496"/>
      <c r="H381" s="496"/>
      <c r="I381" s="496"/>
      <c r="J381" s="496"/>
      <c r="K381" s="497" t="s">
        <v>221</v>
      </c>
      <c r="L381" s="497"/>
      <c r="M381" s="497"/>
      <c r="N381" s="497"/>
      <c r="O381" s="496" t="s">
        <v>222</v>
      </c>
      <c r="P381" s="496"/>
      <c r="Q381" s="496"/>
      <c r="R381" s="496"/>
    </row>
    <row r="382" spans="1:18" ht="31.5" x14ac:dyDescent="0.25">
      <c r="A382" s="341" t="s">
        <v>0</v>
      </c>
      <c r="B382" s="341" t="s">
        <v>1</v>
      </c>
      <c r="C382" s="341" t="s">
        <v>214</v>
      </c>
      <c r="D382" s="57" t="s">
        <v>215</v>
      </c>
      <c r="E382" s="49" t="s">
        <v>216</v>
      </c>
      <c r="F382" s="341" t="s">
        <v>0</v>
      </c>
      <c r="G382" s="49" t="s">
        <v>217</v>
      </c>
      <c r="H382" s="341" t="s">
        <v>218</v>
      </c>
      <c r="I382" s="49" t="s">
        <v>219</v>
      </c>
      <c r="J382" s="49" t="s">
        <v>216</v>
      </c>
      <c r="K382" s="341" t="s">
        <v>0</v>
      </c>
      <c r="L382" s="49" t="s">
        <v>321</v>
      </c>
      <c r="M382" s="49" t="s">
        <v>224</v>
      </c>
      <c r="N382" s="49" t="s">
        <v>216</v>
      </c>
      <c r="O382" s="496"/>
      <c r="P382" s="496"/>
      <c r="Q382" s="496"/>
      <c r="R382" s="496"/>
    </row>
    <row r="383" spans="1:18" ht="15.75" x14ac:dyDescent="0.25">
      <c r="A383" s="50"/>
      <c r="B383" s="312" t="s">
        <v>572</v>
      </c>
      <c r="C383" s="396">
        <v>3</v>
      </c>
      <c r="D383" s="51">
        <f>+'kardex reactivos 3'!G348</f>
        <v>0.31280000000000002</v>
      </c>
      <c r="E383" s="51">
        <f>+C383*D383</f>
        <v>0.93840000000000012</v>
      </c>
      <c r="F383" s="37"/>
      <c r="G383" s="37"/>
      <c r="H383" s="37">
        <f>+'Minutos MOD por exmen '!C24</f>
        <v>1</v>
      </c>
      <c r="I383" s="100">
        <f>+'tasa MOD '!I37</f>
        <v>4.4725192584766118</v>
      </c>
      <c r="J383" s="37">
        <f>+I383*H383</f>
        <v>4.4725192584766118</v>
      </c>
      <c r="K383" s="37"/>
      <c r="L383" s="37">
        <f>+J392</f>
        <v>4.4725192584766118</v>
      </c>
      <c r="M383" s="109">
        <f>+'tasa cif'!G9</f>
        <v>0.76985269116945931</v>
      </c>
      <c r="N383" s="37">
        <f>+L383*M383</f>
        <v>3.4431809874454542</v>
      </c>
      <c r="O383" s="505" t="s">
        <v>225</v>
      </c>
      <c r="P383" s="505"/>
      <c r="Q383" s="35">
        <f>+E392</f>
        <v>3.7205999999999997</v>
      </c>
      <c r="R383" s="38"/>
    </row>
    <row r="384" spans="1:18" ht="15.75" x14ac:dyDescent="0.25">
      <c r="A384" s="50"/>
      <c r="B384" s="14" t="s">
        <v>233</v>
      </c>
      <c r="C384" s="396">
        <v>1</v>
      </c>
      <c r="D384" s="51">
        <f>+'kardex reactivos 1'!G332</f>
        <v>5.340000000000001E-2</v>
      </c>
      <c r="E384" s="51">
        <f>+C384*D384</f>
        <v>5.340000000000001E-2</v>
      </c>
      <c r="F384" s="37"/>
      <c r="G384" s="37"/>
      <c r="H384" s="37"/>
      <c r="I384" s="37"/>
      <c r="J384" s="37"/>
      <c r="K384" s="37"/>
      <c r="L384" s="37"/>
      <c r="M384" s="37"/>
      <c r="N384" s="37"/>
      <c r="O384" s="505" t="s">
        <v>226</v>
      </c>
      <c r="P384" s="505"/>
      <c r="Q384">
        <f>+J392</f>
        <v>4.4725192584766118</v>
      </c>
      <c r="R384" s="38"/>
    </row>
    <row r="385" spans="1:18" ht="15.75" x14ac:dyDescent="0.25">
      <c r="A385" s="50"/>
      <c r="B385" s="14" t="s">
        <v>544</v>
      </c>
      <c r="C385" s="396">
        <v>1</v>
      </c>
      <c r="D385" s="51">
        <f>+'kardex reactivos 1'!G354</f>
        <v>3.4979999999999983E-2</v>
      </c>
      <c r="E385" s="51">
        <f>+C385*D385</f>
        <v>3.4979999999999983E-2</v>
      </c>
      <c r="F385" s="37"/>
      <c r="G385" s="37"/>
      <c r="H385" s="37"/>
      <c r="I385" s="37"/>
      <c r="J385" s="37"/>
      <c r="K385" s="37"/>
      <c r="L385" s="37"/>
      <c r="M385" s="37"/>
      <c r="N385" s="37"/>
      <c r="O385" s="43" t="s">
        <v>227</v>
      </c>
      <c r="P385" s="338"/>
      <c r="Q385">
        <f>+N392</f>
        <v>3.4431809874454542</v>
      </c>
      <c r="R385" s="38"/>
    </row>
    <row r="386" spans="1:18" ht="16.5" thickBot="1" x14ac:dyDescent="0.3">
      <c r="A386" s="50"/>
      <c r="B386" s="14" t="s">
        <v>98</v>
      </c>
      <c r="C386" s="396">
        <v>1</v>
      </c>
      <c r="D386" s="51">
        <f>+'kardex reactivos 1'!G376</f>
        <v>2.8859999999999993E-2</v>
      </c>
      <c r="E386" s="51">
        <f t="shared" ref="E386:E391" si="18">+C386*D386</f>
        <v>2.8859999999999993E-2</v>
      </c>
      <c r="F386" s="37"/>
      <c r="G386" s="37"/>
      <c r="H386" s="37"/>
      <c r="I386" s="37"/>
      <c r="J386" s="37"/>
      <c r="K386" s="37"/>
      <c r="L386" s="37"/>
      <c r="M386" s="37"/>
      <c r="N386" s="37"/>
      <c r="O386" s="43"/>
      <c r="P386" s="338"/>
      <c r="Q386" s="356">
        <f>SUM(Q383:Q385)</f>
        <v>11.636300245922065</v>
      </c>
      <c r="R386" s="38"/>
    </row>
    <row r="387" spans="1:18" ht="16.5" thickTop="1" x14ac:dyDescent="0.25">
      <c r="A387" s="50"/>
      <c r="B387" s="14" t="s">
        <v>99</v>
      </c>
      <c r="C387" s="396">
        <v>1.5</v>
      </c>
      <c r="D387" s="51">
        <f>+'kardex reactivos 1'!G401</f>
        <v>3.7999999999999992E-2</v>
      </c>
      <c r="E387" s="51">
        <f t="shared" si="18"/>
        <v>5.6999999999999988E-2</v>
      </c>
      <c r="F387" s="37"/>
      <c r="G387" s="37"/>
      <c r="H387" s="37"/>
      <c r="I387" s="37"/>
      <c r="J387" s="37"/>
      <c r="K387" s="37"/>
      <c r="L387" s="37"/>
      <c r="M387" s="37"/>
      <c r="N387" s="37"/>
      <c r="O387" s="43"/>
      <c r="P387" s="338"/>
      <c r="R387" s="38"/>
    </row>
    <row r="388" spans="1:18" ht="15.75" x14ac:dyDescent="0.25">
      <c r="A388" s="50"/>
      <c r="B388" s="14" t="s">
        <v>119</v>
      </c>
      <c r="C388" s="396">
        <v>2</v>
      </c>
      <c r="D388" s="51">
        <f>+'kardex reactivos 2'!G101</f>
        <v>0.65</v>
      </c>
      <c r="E388" s="51">
        <f t="shared" si="18"/>
        <v>1.3</v>
      </c>
      <c r="F388" s="37"/>
      <c r="G388" s="37"/>
      <c r="H388" s="37"/>
      <c r="I388" s="37"/>
      <c r="J388" s="37"/>
      <c r="K388" s="37"/>
      <c r="L388" s="37"/>
      <c r="M388" s="37"/>
      <c r="N388" s="37"/>
      <c r="O388" s="43"/>
      <c r="P388" s="338"/>
      <c r="R388" s="38"/>
    </row>
    <row r="389" spans="1:18" ht="15.75" x14ac:dyDescent="0.25">
      <c r="A389" s="50"/>
      <c r="B389" s="14" t="s">
        <v>235</v>
      </c>
      <c r="C389" s="396">
        <v>1</v>
      </c>
      <c r="D389" s="51">
        <f>+'kardex reactivos 1'!G436</f>
        <v>8.2959999999999992E-2</v>
      </c>
      <c r="E389" s="51">
        <f t="shared" si="18"/>
        <v>8.2959999999999992E-2</v>
      </c>
      <c r="F389" s="37"/>
      <c r="G389" s="37"/>
      <c r="H389" s="37"/>
      <c r="I389" s="37"/>
      <c r="J389" s="37"/>
      <c r="K389" s="37"/>
      <c r="L389" s="37"/>
      <c r="M389" s="37"/>
      <c r="N389" s="37"/>
      <c r="O389" s="43"/>
      <c r="P389" s="338"/>
      <c r="R389" s="38"/>
    </row>
    <row r="390" spans="1:18" ht="15.75" x14ac:dyDescent="0.25">
      <c r="A390" s="50"/>
      <c r="B390" s="312" t="s">
        <v>573</v>
      </c>
      <c r="C390" s="396">
        <v>2.5</v>
      </c>
      <c r="D390" s="51">
        <f>+'kardex reactivos 1'!G561</f>
        <v>0.49</v>
      </c>
      <c r="E390" s="51">
        <f t="shared" si="18"/>
        <v>1.2250000000000001</v>
      </c>
      <c r="F390" s="37"/>
      <c r="G390" s="37"/>
      <c r="H390" s="37"/>
      <c r="I390" s="37"/>
      <c r="J390" s="37"/>
      <c r="K390" s="37"/>
      <c r="L390" s="37"/>
      <c r="M390" s="37"/>
      <c r="N390" s="37"/>
      <c r="O390" s="43"/>
      <c r="P390" s="338"/>
      <c r="R390" s="38"/>
    </row>
    <row r="391" spans="1:18" ht="15.75" x14ac:dyDescent="0.25">
      <c r="A391" s="50"/>
      <c r="B391" s="14" t="s">
        <v>93</v>
      </c>
      <c r="C391" s="396">
        <v>0.5</v>
      </c>
      <c r="D391" s="51">
        <f>+'kardex reactivos 2'!G202</f>
        <v>0</v>
      </c>
      <c r="E391" s="51">
        <f t="shared" si="18"/>
        <v>0</v>
      </c>
      <c r="F391" s="37"/>
      <c r="G391" s="37"/>
      <c r="H391" s="37"/>
      <c r="I391" s="37"/>
      <c r="J391" s="37"/>
      <c r="K391" s="37"/>
      <c r="L391" s="37"/>
      <c r="M391" s="37"/>
      <c r="N391" s="37"/>
      <c r="O391" s="43"/>
      <c r="P391" s="338"/>
      <c r="R391" s="38"/>
    </row>
    <row r="392" spans="1:18" ht="15.75" x14ac:dyDescent="0.25">
      <c r="A392" s="489" t="s">
        <v>220</v>
      </c>
      <c r="B392" s="489"/>
      <c r="C392" s="489"/>
      <c r="D392" s="489"/>
      <c r="E392" s="52">
        <f>SUM(E383:E391)</f>
        <v>3.7205999999999997</v>
      </c>
      <c r="F392" s="37"/>
      <c r="G392" s="37"/>
      <c r="H392" s="489" t="s">
        <v>220</v>
      </c>
      <c r="I392" s="489"/>
      <c r="J392" s="53">
        <f>+J383</f>
        <v>4.4725192584766118</v>
      </c>
      <c r="K392" s="37"/>
      <c r="L392" s="37"/>
      <c r="M392" s="37"/>
      <c r="N392" s="37">
        <f>+N383</f>
        <v>3.4431809874454542</v>
      </c>
      <c r="O392" s="490"/>
      <c r="P392" s="491"/>
      <c r="Q392" s="367"/>
      <c r="R392" s="357"/>
    </row>
    <row r="396" spans="1:18" ht="15.75" x14ac:dyDescent="0.25">
      <c r="A396" s="506" t="s">
        <v>208</v>
      </c>
      <c r="B396" s="507"/>
      <c r="C396" s="507"/>
      <c r="D396" s="507"/>
      <c r="E396" s="507"/>
      <c r="F396" s="507"/>
      <c r="G396" s="507"/>
      <c r="H396" s="507"/>
      <c r="I396" s="507"/>
      <c r="J396" s="507"/>
      <c r="K396" s="507"/>
      <c r="L396" s="507"/>
      <c r="M396" s="507"/>
      <c r="N396" s="507"/>
      <c r="O396" s="507"/>
      <c r="P396" s="507"/>
      <c r="Q396" s="507"/>
      <c r="R396" s="508"/>
    </row>
    <row r="397" spans="1:18" ht="15.75" x14ac:dyDescent="0.25">
      <c r="A397" s="347" t="s">
        <v>209</v>
      </c>
      <c r="B397" s="348"/>
      <c r="C397" s="39"/>
      <c r="D397" s="55"/>
      <c r="E397" s="39"/>
      <c r="F397" s="39"/>
      <c r="G397" s="39"/>
      <c r="H397" s="494"/>
      <c r="I397" s="494"/>
      <c r="J397" s="494"/>
      <c r="K397" s="39"/>
      <c r="L397" s="39"/>
      <c r="M397" s="39"/>
      <c r="N397" s="39"/>
      <c r="O397" s="39"/>
      <c r="P397" s="39"/>
      <c r="Q397" s="39"/>
      <c r="R397" s="42"/>
    </row>
    <row r="398" spans="1:18" ht="15.75" x14ac:dyDescent="0.25">
      <c r="A398" s="347" t="s">
        <v>228</v>
      </c>
      <c r="B398" s="493" t="s">
        <v>575</v>
      </c>
      <c r="C398" s="493"/>
      <c r="D398" s="55"/>
      <c r="E398" s="39"/>
      <c r="F398" s="39"/>
      <c r="G398" s="39"/>
      <c r="H398" s="494"/>
      <c r="I398" s="494"/>
      <c r="J398" s="494"/>
      <c r="K398" s="39"/>
      <c r="L398" s="39"/>
      <c r="M398" s="39"/>
      <c r="N398" s="39"/>
      <c r="O398" s="39"/>
      <c r="P398" s="39"/>
      <c r="Q398" s="39"/>
      <c r="R398" s="42"/>
    </row>
    <row r="399" spans="1:18" ht="15.75" x14ac:dyDescent="0.25">
      <c r="A399" s="492" t="s">
        <v>210</v>
      </c>
      <c r="B399" s="493"/>
      <c r="C399" s="348"/>
      <c r="D399" s="56"/>
      <c r="E399" s="39"/>
      <c r="F399" s="39"/>
      <c r="G399" s="39"/>
      <c r="H399" s="494"/>
      <c r="I399" s="494"/>
      <c r="J399" s="494"/>
      <c r="K399" s="39"/>
      <c r="L399" s="39"/>
      <c r="M399" s="39"/>
      <c r="N399" s="39"/>
      <c r="O399" s="39"/>
      <c r="P399" s="39"/>
      <c r="Q399" s="39"/>
      <c r="R399" s="42"/>
    </row>
    <row r="400" spans="1:18" ht="15.75" x14ac:dyDescent="0.25">
      <c r="A400" s="495" t="s">
        <v>211</v>
      </c>
      <c r="B400" s="494"/>
      <c r="C400" s="494"/>
      <c r="D400" s="55"/>
      <c r="E400" s="39"/>
      <c r="F400" s="39"/>
      <c r="G400" s="39"/>
      <c r="H400" s="494"/>
      <c r="I400" s="494"/>
      <c r="J400" s="494"/>
      <c r="K400" s="39"/>
      <c r="L400" s="39"/>
      <c r="M400" s="39"/>
      <c r="N400" s="39"/>
      <c r="O400" s="39"/>
      <c r="P400" s="39"/>
      <c r="Q400" s="39"/>
      <c r="R400" s="42"/>
    </row>
    <row r="401" spans="1:18" ht="15.75" x14ac:dyDescent="0.25">
      <c r="A401" s="496" t="s">
        <v>212</v>
      </c>
      <c r="B401" s="496"/>
      <c r="C401" s="496"/>
      <c r="D401" s="496"/>
      <c r="E401" s="496"/>
      <c r="F401" s="496" t="s">
        <v>213</v>
      </c>
      <c r="G401" s="496"/>
      <c r="H401" s="496"/>
      <c r="I401" s="496"/>
      <c r="J401" s="496"/>
      <c r="K401" s="497" t="s">
        <v>221</v>
      </c>
      <c r="L401" s="497"/>
      <c r="M401" s="497"/>
      <c r="N401" s="497"/>
      <c r="O401" s="496" t="s">
        <v>222</v>
      </c>
      <c r="P401" s="496"/>
      <c r="Q401" s="496"/>
      <c r="R401" s="496"/>
    </row>
    <row r="402" spans="1:18" ht="31.5" x14ac:dyDescent="0.25">
      <c r="A402" s="351" t="s">
        <v>0</v>
      </c>
      <c r="B402" s="351" t="s">
        <v>1</v>
      </c>
      <c r="C402" s="351" t="s">
        <v>214</v>
      </c>
      <c r="D402" s="57" t="s">
        <v>215</v>
      </c>
      <c r="E402" s="49" t="s">
        <v>216</v>
      </c>
      <c r="F402" s="351" t="s">
        <v>0</v>
      </c>
      <c r="G402" s="49" t="s">
        <v>217</v>
      </c>
      <c r="H402" s="351" t="s">
        <v>218</v>
      </c>
      <c r="I402" s="49" t="s">
        <v>219</v>
      </c>
      <c r="J402" s="49" t="s">
        <v>216</v>
      </c>
      <c r="K402" s="351" t="s">
        <v>0</v>
      </c>
      <c r="L402" s="49" t="s">
        <v>321</v>
      </c>
      <c r="M402" s="49" t="s">
        <v>224</v>
      </c>
      <c r="N402" s="49" t="s">
        <v>216</v>
      </c>
      <c r="O402" s="496"/>
      <c r="P402" s="496"/>
      <c r="Q402" s="496"/>
      <c r="R402" s="496"/>
    </row>
    <row r="403" spans="1:18" ht="15.75" x14ac:dyDescent="0.25">
      <c r="A403" s="50"/>
      <c r="B403" s="312" t="s">
        <v>576</v>
      </c>
      <c r="C403" s="396">
        <v>3</v>
      </c>
      <c r="D403" s="51">
        <f>+'kardex reactivos 3'!H361</f>
        <v>0.93840000000000012</v>
      </c>
      <c r="E403" s="51">
        <f>+C403*D403</f>
        <v>2.8152000000000004</v>
      </c>
      <c r="F403" s="37"/>
      <c r="G403" s="37"/>
      <c r="H403" s="37">
        <f>+'Minutos MOD por exmen '!C25</f>
        <v>1</v>
      </c>
      <c r="I403" s="100">
        <f>+'tasa MOD '!I37</f>
        <v>4.4725192584766118</v>
      </c>
      <c r="J403" s="37">
        <f>+I403*H403</f>
        <v>4.4725192584766118</v>
      </c>
      <c r="K403" s="37"/>
      <c r="L403" s="37">
        <f>+J412</f>
        <v>4.4725192584766118</v>
      </c>
      <c r="M403" s="109">
        <f>+'tasa cif'!G9</f>
        <v>0.76985269116945931</v>
      </c>
      <c r="N403" s="37">
        <f>+L403*M403</f>
        <v>3.4431809874454542</v>
      </c>
      <c r="O403" s="505" t="s">
        <v>225</v>
      </c>
      <c r="P403" s="505"/>
      <c r="Q403" s="35">
        <f>+E412</f>
        <v>7.4855133333333335</v>
      </c>
      <c r="R403" s="38"/>
    </row>
    <row r="404" spans="1:18" ht="15.75" x14ac:dyDescent="0.25">
      <c r="A404" s="50"/>
      <c r="B404" s="14" t="s">
        <v>233</v>
      </c>
      <c r="C404" s="396">
        <v>1</v>
      </c>
      <c r="D404" s="51">
        <f>+'kardex reactivos 1'!G333</f>
        <v>5.3400000000000017E-2</v>
      </c>
      <c r="E404" s="51">
        <f>+C404*D404</f>
        <v>5.3400000000000017E-2</v>
      </c>
      <c r="F404" s="37"/>
      <c r="G404" s="37"/>
      <c r="H404" s="37"/>
      <c r="I404" s="37"/>
      <c r="J404" s="37"/>
      <c r="K404" s="37"/>
      <c r="L404" s="37"/>
      <c r="M404" s="37"/>
      <c r="N404" s="37"/>
      <c r="O404" s="505" t="s">
        <v>226</v>
      </c>
      <c r="P404" s="505"/>
      <c r="Q404">
        <f>+J412</f>
        <v>4.4725192584766118</v>
      </c>
      <c r="R404" s="38"/>
    </row>
    <row r="405" spans="1:18" ht="15.75" x14ac:dyDescent="0.25">
      <c r="A405" s="50"/>
      <c r="B405" s="14" t="s">
        <v>544</v>
      </c>
      <c r="C405" s="396">
        <v>1</v>
      </c>
      <c r="D405" s="51">
        <f>+'kardex reactivos 1'!G355</f>
        <v>3.4979999999999976E-2</v>
      </c>
      <c r="E405" s="51">
        <f>+C405*D405</f>
        <v>3.4979999999999976E-2</v>
      </c>
      <c r="F405" s="37"/>
      <c r="G405" s="37"/>
      <c r="H405" s="37"/>
      <c r="I405" s="37"/>
      <c r="J405" s="37"/>
      <c r="K405" s="37"/>
      <c r="L405" s="37"/>
      <c r="M405" s="37"/>
      <c r="N405" s="37"/>
      <c r="O405" s="43" t="s">
        <v>227</v>
      </c>
      <c r="P405" s="349"/>
      <c r="Q405">
        <f>+N412</f>
        <v>3.4431809874454542</v>
      </c>
      <c r="R405" s="38"/>
    </row>
    <row r="406" spans="1:18" ht="16.5" thickBot="1" x14ac:dyDescent="0.3">
      <c r="A406" s="50"/>
      <c r="B406" s="14" t="s">
        <v>98</v>
      </c>
      <c r="C406" s="396">
        <v>1</v>
      </c>
      <c r="D406" s="51">
        <f>+'kardex reactivos 1'!G377</f>
        <v>2.8859999999999993E-2</v>
      </c>
      <c r="E406" s="51">
        <f t="shared" ref="E406:E411" si="19">+C406*D406</f>
        <v>2.8859999999999993E-2</v>
      </c>
      <c r="F406" s="37"/>
      <c r="G406" s="37"/>
      <c r="H406" s="37"/>
      <c r="I406" s="37"/>
      <c r="J406" s="37"/>
      <c r="K406" s="37"/>
      <c r="L406" s="37"/>
      <c r="M406" s="37"/>
      <c r="N406" s="37"/>
      <c r="O406" s="43"/>
      <c r="P406" s="349"/>
      <c r="Q406" s="356">
        <f>SUM(Q403:Q405)</f>
        <v>15.401213579255401</v>
      </c>
      <c r="R406" s="38"/>
    </row>
    <row r="407" spans="1:18" ht="16.5" thickTop="1" x14ac:dyDescent="0.25">
      <c r="A407" s="50"/>
      <c r="B407" s="14" t="s">
        <v>99</v>
      </c>
      <c r="C407" s="396">
        <v>1.5</v>
      </c>
      <c r="D407" s="51">
        <f>+'kardex reactivos 1'!G402</f>
        <v>3.7999999999999992E-2</v>
      </c>
      <c r="E407" s="51">
        <f t="shared" si="19"/>
        <v>5.6999999999999988E-2</v>
      </c>
      <c r="F407" s="37"/>
      <c r="G407" s="37"/>
      <c r="H407" s="37"/>
      <c r="I407" s="37"/>
      <c r="J407" s="37"/>
      <c r="K407" s="37"/>
      <c r="L407" s="37"/>
      <c r="M407" s="37"/>
      <c r="N407" s="37"/>
      <c r="O407" s="43"/>
      <c r="P407" s="349"/>
      <c r="R407" s="38"/>
    </row>
    <row r="408" spans="1:18" ht="15.75" x14ac:dyDescent="0.25">
      <c r="A408" s="50"/>
      <c r="B408" s="14" t="s">
        <v>575</v>
      </c>
      <c r="C408" s="396">
        <v>2</v>
      </c>
      <c r="D408" s="51">
        <f>+'kardex reactivos 2'!H87</f>
        <v>1.3</v>
      </c>
      <c r="E408" s="51">
        <f t="shared" si="19"/>
        <v>2.6</v>
      </c>
      <c r="F408" s="37"/>
      <c r="G408" s="37"/>
      <c r="H408" s="37"/>
      <c r="I408" s="37"/>
      <c r="J408" s="37"/>
      <c r="K408" s="37"/>
      <c r="L408" s="37"/>
      <c r="M408" s="37"/>
      <c r="N408" s="37"/>
      <c r="O408" s="43"/>
      <c r="P408" s="349"/>
      <c r="R408" s="38"/>
    </row>
    <row r="409" spans="1:18" ht="15.75" x14ac:dyDescent="0.25">
      <c r="A409" s="50"/>
      <c r="B409" s="14" t="s">
        <v>235</v>
      </c>
      <c r="C409" s="396">
        <v>1</v>
      </c>
      <c r="D409" s="51">
        <f>+'kardex reactivos 2'!G87</f>
        <v>0.65</v>
      </c>
      <c r="E409" s="51">
        <f t="shared" si="19"/>
        <v>0.65</v>
      </c>
      <c r="F409" s="37"/>
      <c r="G409" s="37"/>
      <c r="H409" s="37"/>
      <c r="I409" s="37"/>
      <c r="J409" s="37"/>
      <c r="K409" s="37"/>
      <c r="L409" s="37"/>
      <c r="M409" s="37"/>
      <c r="N409" s="37"/>
      <c r="O409" s="43"/>
      <c r="P409" s="349"/>
      <c r="R409" s="38"/>
    </row>
    <row r="410" spans="1:18" ht="15.75" x14ac:dyDescent="0.25">
      <c r="A410" s="50"/>
      <c r="B410" s="312" t="s">
        <v>577</v>
      </c>
      <c r="C410" s="396">
        <v>2.5</v>
      </c>
      <c r="D410" s="51">
        <f>+'kardex reactivos 1'!G547</f>
        <v>0.49</v>
      </c>
      <c r="E410" s="51">
        <f t="shared" si="19"/>
        <v>1.2250000000000001</v>
      </c>
      <c r="F410" s="37"/>
      <c r="G410" s="37"/>
      <c r="H410" s="37"/>
      <c r="I410" s="37"/>
      <c r="J410" s="37"/>
      <c r="K410" s="37"/>
      <c r="L410" s="37"/>
      <c r="M410" s="37"/>
      <c r="N410" s="37"/>
      <c r="O410" s="43"/>
      <c r="P410" s="349"/>
      <c r="R410" s="38"/>
    </row>
    <row r="411" spans="1:18" ht="15.75" x14ac:dyDescent="0.25">
      <c r="A411" s="50"/>
      <c r="B411" s="14" t="s">
        <v>93</v>
      </c>
      <c r="C411" s="396">
        <v>0.5</v>
      </c>
      <c r="D411" s="51">
        <f>+'kardex reactivos 1'!G281</f>
        <v>4.2146666666666666E-2</v>
      </c>
      <c r="E411" s="51">
        <f t="shared" si="19"/>
        <v>2.1073333333333333E-2</v>
      </c>
      <c r="F411" s="37"/>
      <c r="G411" s="37"/>
      <c r="H411" s="37"/>
      <c r="I411" s="37"/>
      <c r="J411" s="37"/>
      <c r="K411" s="37"/>
      <c r="L411" s="37"/>
      <c r="M411" s="37"/>
      <c r="N411" s="37"/>
      <c r="O411" s="279"/>
      <c r="P411" s="349"/>
      <c r="Q411" s="39"/>
      <c r="R411" s="38"/>
    </row>
    <row r="412" spans="1:18" ht="15.75" x14ac:dyDescent="0.25">
      <c r="A412" s="489" t="s">
        <v>220</v>
      </c>
      <c r="B412" s="489"/>
      <c r="C412" s="489"/>
      <c r="D412" s="489"/>
      <c r="E412" s="52">
        <f>SUM(E403:E411)</f>
        <v>7.4855133333333335</v>
      </c>
      <c r="F412" s="37"/>
      <c r="G412" s="37"/>
      <c r="H412" s="489" t="s">
        <v>220</v>
      </c>
      <c r="I412" s="489"/>
      <c r="J412" s="53">
        <f>+J403</f>
        <v>4.4725192584766118</v>
      </c>
      <c r="K412" s="37"/>
      <c r="L412" s="37"/>
      <c r="M412" s="37"/>
      <c r="N412" s="37">
        <f>+N403</f>
        <v>3.4431809874454542</v>
      </c>
      <c r="O412" s="490"/>
      <c r="P412" s="491"/>
      <c r="Q412" s="367"/>
      <c r="R412" s="357"/>
    </row>
    <row r="415" spans="1:18" ht="15.75" x14ac:dyDescent="0.25">
      <c r="A415" s="506" t="s">
        <v>208</v>
      </c>
      <c r="B415" s="507"/>
      <c r="C415" s="507"/>
      <c r="D415" s="507"/>
      <c r="E415" s="507"/>
      <c r="F415" s="507"/>
      <c r="G415" s="507"/>
      <c r="H415" s="507"/>
      <c r="I415" s="507"/>
      <c r="J415" s="507"/>
      <c r="K415" s="507"/>
      <c r="L415" s="507"/>
      <c r="M415" s="507"/>
      <c r="N415" s="507"/>
      <c r="O415" s="507"/>
      <c r="P415" s="507"/>
      <c r="Q415" s="507"/>
      <c r="R415" s="508"/>
    </row>
    <row r="416" spans="1:18" ht="15.75" x14ac:dyDescent="0.25">
      <c r="A416" s="347" t="s">
        <v>209</v>
      </c>
      <c r="B416" s="348"/>
      <c r="C416" s="39"/>
      <c r="D416" s="55"/>
      <c r="E416" s="39"/>
      <c r="F416" s="39"/>
      <c r="G416" s="39"/>
      <c r="H416" s="494"/>
      <c r="I416" s="494"/>
      <c r="J416" s="494"/>
      <c r="K416" s="39"/>
      <c r="L416" s="39"/>
      <c r="M416" s="39"/>
      <c r="N416" s="39"/>
      <c r="O416" s="39"/>
      <c r="P416" s="39"/>
      <c r="Q416" s="39"/>
      <c r="R416" s="42"/>
    </row>
    <row r="417" spans="1:18" ht="15.75" x14ac:dyDescent="0.25">
      <c r="A417" s="347" t="s">
        <v>228</v>
      </c>
      <c r="B417" s="493" t="s">
        <v>579</v>
      </c>
      <c r="C417" s="493"/>
      <c r="D417" s="55"/>
      <c r="E417" s="39"/>
      <c r="F417" s="39"/>
      <c r="G417" s="39"/>
      <c r="H417" s="494"/>
      <c r="I417" s="494"/>
      <c r="J417" s="494"/>
      <c r="K417" s="39"/>
      <c r="L417" s="39"/>
      <c r="M417" s="39"/>
      <c r="N417" s="39"/>
      <c r="O417" s="39"/>
      <c r="P417" s="39"/>
      <c r="Q417" s="39"/>
      <c r="R417" s="42"/>
    </row>
    <row r="418" spans="1:18" ht="15.75" x14ac:dyDescent="0.25">
      <c r="A418" s="492" t="s">
        <v>210</v>
      </c>
      <c r="B418" s="493"/>
      <c r="C418" s="348"/>
      <c r="D418" s="56"/>
      <c r="E418" s="39"/>
      <c r="F418" s="39"/>
      <c r="G418" s="39"/>
      <c r="H418" s="494"/>
      <c r="I418" s="494"/>
      <c r="J418" s="494"/>
      <c r="K418" s="39"/>
      <c r="L418" s="39"/>
      <c r="M418" s="39"/>
      <c r="N418" s="39"/>
      <c r="O418" s="39"/>
      <c r="P418" s="39"/>
      <c r="Q418" s="39"/>
      <c r="R418" s="42"/>
    </row>
    <row r="419" spans="1:18" ht="15.75" x14ac:dyDescent="0.25">
      <c r="A419" s="495" t="s">
        <v>211</v>
      </c>
      <c r="B419" s="494"/>
      <c r="C419" s="494"/>
      <c r="D419" s="55"/>
      <c r="E419" s="39"/>
      <c r="F419" s="39"/>
      <c r="G419" s="39"/>
      <c r="H419" s="494"/>
      <c r="I419" s="494"/>
      <c r="J419" s="494"/>
      <c r="K419" s="39"/>
      <c r="L419" s="39"/>
      <c r="M419" s="39"/>
      <c r="N419" s="39"/>
      <c r="O419" s="39"/>
      <c r="P419" s="39"/>
      <c r="Q419" s="39"/>
      <c r="R419" s="42"/>
    </row>
    <row r="420" spans="1:18" ht="15.75" x14ac:dyDescent="0.25">
      <c r="A420" s="496" t="s">
        <v>212</v>
      </c>
      <c r="B420" s="496"/>
      <c r="C420" s="496"/>
      <c r="D420" s="496"/>
      <c r="E420" s="496"/>
      <c r="F420" s="496" t="s">
        <v>213</v>
      </c>
      <c r="G420" s="496"/>
      <c r="H420" s="496"/>
      <c r="I420" s="496"/>
      <c r="J420" s="496"/>
      <c r="K420" s="497" t="s">
        <v>221</v>
      </c>
      <c r="L420" s="497"/>
      <c r="M420" s="497"/>
      <c r="N420" s="497"/>
      <c r="O420" s="496" t="s">
        <v>222</v>
      </c>
      <c r="P420" s="496"/>
      <c r="Q420" s="496"/>
      <c r="R420" s="496"/>
    </row>
    <row r="421" spans="1:18" ht="31.5" x14ac:dyDescent="0.25">
      <c r="A421" s="351" t="s">
        <v>0</v>
      </c>
      <c r="B421" s="351" t="s">
        <v>1</v>
      </c>
      <c r="C421" s="351" t="s">
        <v>214</v>
      </c>
      <c r="D421" s="57" t="s">
        <v>215</v>
      </c>
      <c r="E421" s="49" t="s">
        <v>216</v>
      </c>
      <c r="F421" s="351" t="s">
        <v>0</v>
      </c>
      <c r="G421" s="49" t="s">
        <v>217</v>
      </c>
      <c r="H421" s="351" t="s">
        <v>218</v>
      </c>
      <c r="I421" s="49" t="s">
        <v>219</v>
      </c>
      <c r="J421" s="49" t="s">
        <v>216</v>
      </c>
      <c r="K421" s="351" t="s">
        <v>0</v>
      </c>
      <c r="L421" s="49" t="s">
        <v>321</v>
      </c>
      <c r="M421" s="49" t="s">
        <v>224</v>
      </c>
      <c r="N421" s="49" t="s">
        <v>216</v>
      </c>
      <c r="O421" s="496"/>
      <c r="P421" s="496"/>
      <c r="Q421" s="496"/>
      <c r="R421" s="496"/>
    </row>
    <row r="422" spans="1:18" ht="15.75" x14ac:dyDescent="0.25">
      <c r="A422" s="50"/>
      <c r="B422" s="14" t="s">
        <v>580</v>
      </c>
      <c r="C422" s="346">
        <v>1</v>
      </c>
      <c r="D422" s="51">
        <f>+'kardex reactivos 3'!G265</f>
        <v>1.5</v>
      </c>
      <c r="E422" s="51">
        <f>+C422*D422</f>
        <v>1.5</v>
      </c>
      <c r="F422" s="37"/>
      <c r="G422" s="37"/>
      <c r="H422" s="37">
        <f>+'Minutos MOD por exmen '!C26</f>
        <v>0.1</v>
      </c>
      <c r="I422" s="100">
        <f>+'tasa MOD '!I37</f>
        <v>4.4725192584766118</v>
      </c>
      <c r="J422" s="37">
        <f>+I422*H422</f>
        <v>0.44725192584766121</v>
      </c>
      <c r="K422" s="37"/>
      <c r="L422" s="37">
        <f>+J426</f>
        <v>0.44725192584766121</v>
      </c>
      <c r="M422" s="109">
        <f>+'tasa cif'!G9</f>
        <v>0.76985269116945931</v>
      </c>
      <c r="N422" s="37">
        <f>+L422*M422</f>
        <v>0.34431809874454544</v>
      </c>
      <c r="O422" s="505" t="s">
        <v>225</v>
      </c>
      <c r="P422" s="505"/>
      <c r="Q422" s="35">
        <f>+E426</f>
        <v>1.5</v>
      </c>
      <c r="R422" s="38"/>
    </row>
    <row r="423" spans="1:18" ht="15.75" x14ac:dyDescent="0.25">
      <c r="A423" s="50"/>
      <c r="B423" s="14"/>
      <c r="C423" s="346"/>
      <c r="D423" s="51"/>
      <c r="E423" s="51">
        <f>+C423*D423</f>
        <v>0</v>
      </c>
      <c r="F423" s="37"/>
      <c r="G423" s="37"/>
      <c r="H423" s="37"/>
      <c r="I423" s="37"/>
      <c r="J423" s="37"/>
      <c r="K423" s="37"/>
      <c r="L423" s="37"/>
      <c r="M423" s="37"/>
      <c r="N423" s="37"/>
      <c r="O423" s="505" t="s">
        <v>226</v>
      </c>
      <c r="P423" s="505"/>
      <c r="Q423">
        <f>+J426</f>
        <v>0.44725192584766121</v>
      </c>
      <c r="R423" s="38"/>
    </row>
    <row r="424" spans="1:18" ht="15.75" x14ac:dyDescent="0.25">
      <c r="A424" s="50"/>
      <c r="B424" s="14"/>
      <c r="C424" s="346"/>
      <c r="D424" s="51"/>
      <c r="E424" s="51">
        <f>+C424*D424</f>
        <v>0</v>
      </c>
      <c r="F424" s="37"/>
      <c r="G424" s="37"/>
      <c r="H424" s="37"/>
      <c r="I424" s="37"/>
      <c r="J424" s="37"/>
      <c r="K424" s="37"/>
      <c r="L424" s="37"/>
      <c r="M424" s="37"/>
      <c r="N424" s="37"/>
      <c r="O424" s="43" t="s">
        <v>227</v>
      </c>
      <c r="P424" s="349"/>
      <c r="Q424">
        <f>+N426</f>
        <v>0.34431809874454544</v>
      </c>
      <c r="R424" s="38"/>
    </row>
    <row r="425" spans="1:18" ht="16.5" thickBot="1" x14ac:dyDescent="0.3">
      <c r="A425" s="50"/>
      <c r="B425" s="14"/>
      <c r="C425" s="346"/>
      <c r="D425" s="51"/>
      <c r="E425" s="51">
        <f t="shared" ref="E425" si="20">+C425*D425</f>
        <v>0</v>
      </c>
      <c r="F425" s="37"/>
      <c r="G425" s="37"/>
      <c r="H425" s="37"/>
      <c r="I425" s="37"/>
      <c r="J425" s="37"/>
      <c r="K425" s="37"/>
      <c r="L425" s="37"/>
      <c r="M425" s="37"/>
      <c r="N425" s="37"/>
      <c r="O425" s="43"/>
      <c r="P425" s="349"/>
      <c r="Q425" s="356">
        <f>SUM(Q422:Q424)</f>
        <v>2.2915700245922066</v>
      </c>
      <c r="R425" s="38"/>
    </row>
    <row r="426" spans="1:18" ht="16.5" thickTop="1" x14ac:dyDescent="0.25">
      <c r="A426" s="489" t="s">
        <v>220</v>
      </c>
      <c r="B426" s="489"/>
      <c r="C426" s="489"/>
      <c r="D426" s="489"/>
      <c r="E426" s="52">
        <f>SUM(E422:E425)</f>
        <v>1.5</v>
      </c>
      <c r="F426" s="37"/>
      <c r="G426" s="37"/>
      <c r="H426" s="489" t="s">
        <v>220</v>
      </c>
      <c r="I426" s="489"/>
      <c r="J426" s="53">
        <f>+J422</f>
        <v>0.44725192584766121</v>
      </c>
      <c r="K426" s="37"/>
      <c r="L426" s="37"/>
      <c r="M426" s="37"/>
      <c r="N426" s="37">
        <f>+N422</f>
        <v>0.34431809874454544</v>
      </c>
      <c r="O426" s="490"/>
      <c r="P426" s="491"/>
      <c r="Q426" s="367"/>
      <c r="R426" s="357"/>
    </row>
    <row r="429" spans="1:18" ht="15.75" x14ac:dyDescent="0.25">
      <c r="A429" s="506" t="s">
        <v>208</v>
      </c>
      <c r="B429" s="507"/>
      <c r="C429" s="507"/>
      <c r="D429" s="507"/>
      <c r="E429" s="507"/>
      <c r="F429" s="507"/>
      <c r="G429" s="507"/>
      <c r="H429" s="507"/>
      <c r="I429" s="507"/>
      <c r="J429" s="507"/>
      <c r="K429" s="507"/>
      <c r="L429" s="507"/>
      <c r="M429" s="507"/>
      <c r="N429" s="507"/>
      <c r="O429" s="507"/>
      <c r="P429" s="507"/>
      <c r="Q429" s="507"/>
      <c r="R429" s="508"/>
    </row>
    <row r="430" spans="1:18" ht="15.75" x14ac:dyDescent="0.25">
      <c r="A430" s="347" t="s">
        <v>209</v>
      </c>
      <c r="B430" s="348"/>
      <c r="C430" s="39"/>
      <c r="D430" s="55"/>
      <c r="E430" s="39"/>
      <c r="F430" s="39"/>
      <c r="G430" s="39"/>
      <c r="H430" s="494"/>
      <c r="I430" s="494"/>
      <c r="J430" s="494"/>
      <c r="K430" s="39"/>
      <c r="L430" s="39"/>
      <c r="M430" s="39"/>
      <c r="N430" s="39"/>
      <c r="O430" s="39"/>
      <c r="P430" s="39"/>
      <c r="Q430" s="39"/>
      <c r="R430" s="42"/>
    </row>
    <row r="431" spans="1:18" ht="15.75" x14ac:dyDescent="0.25">
      <c r="A431" s="347" t="s">
        <v>228</v>
      </c>
      <c r="B431" s="493" t="s">
        <v>582</v>
      </c>
      <c r="C431" s="493"/>
      <c r="D431" s="55"/>
      <c r="E431" s="39"/>
      <c r="F431" s="39"/>
      <c r="G431" s="39"/>
      <c r="H431" s="494"/>
      <c r="I431" s="494"/>
      <c r="J431" s="494"/>
      <c r="K431" s="39"/>
      <c r="L431" s="39"/>
      <c r="M431" s="39"/>
      <c r="N431" s="39"/>
      <c r="O431" s="39"/>
      <c r="P431" s="39"/>
      <c r="Q431" s="39"/>
      <c r="R431" s="42"/>
    </row>
    <row r="432" spans="1:18" ht="15.75" x14ac:dyDescent="0.25">
      <c r="A432" s="492" t="s">
        <v>210</v>
      </c>
      <c r="B432" s="493"/>
      <c r="C432" s="348"/>
      <c r="D432" s="56"/>
      <c r="E432" s="39"/>
      <c r="F432" s="39"/>
      <c r="G432" s="39"/>
      <c r="H432" s="494"/>
      <c r="I432" s="494"/>
      <c r="J432" s="494"/>
      <c r="K432" s="39"/>
      <c r="L432" s="39"/>
      <c r="M432" s="39"/>
      <c r="N432" s="39"/>
      <c r="O432" s="39"/>
      <c r="P432" s="39"/>
      <c r="Q432" s="39"/>
      <c r="R432" s="42"/>
    </row>
    <row r="433" spans="1:18" ht="15.75" x14ac:dyDescent="0.25">
      <c r="A433" s="495" t="s">
        <v>211</v>
      </c>
      <c r="B433" s="494"/>
      <c r="C433" s="494"/>
      <c r="D433" s="55"/>
      <c r="E433" s="39"/>
      <c r="F433" s="39"/>
      <c r="G433" s="39"/>
      <c r="H433" s="494"/>
      <c r="I433" s="494"/>
      <c r="J433" s="494"/>
      <c r="K433" s="39"/>
      <c r="L433" s="39"/>
      <c r="M433" s="39"/>
      <c r="N433" s="39"/>
      <c r="O433" s="39"/>
      <c r="P433" s="39"/>
      <c r="Q433" s="39"/>
      <c r="R433" s="42"/>
    </row>
    <row r="434" spans="1:18" ht="15.75" x14ac:dyDescent="0.25">
      <c r="A434" s="496" t="s">
        <v>212</v>
      </c>
      <c r="B434" s="496"/>
      <c r="C434" s="496"/>
      <c r="D434" s="496"/>
      <c r="E434" s="496"/>
      <c r="F434" s="496" t="s">
        <v>213</v>
      </c>
      <c r="G434" s="496"/>
      <c r="H434" s="496"/>
      <c r="I434" s="496"/>
      <c r="J434" s="496"/>
      <c r="K434" s="497" t="s">
        <v>221</v>
      </c>
      <c r="L434" s="497"/>
      <c r="M434" s="497"/>
      <c r="N434" s="497"/>
      <c r="O434" s="496" t="s">
        <v>222</v>
      </c>
      <c r="P434" s="496"/>
      <c r="Q434" s="496"/>
      <c r="R434" s="496"/>
    </row>
    <row r="435" spans="1:18" ht="31.5" x14ac:dyDescent="0.25">
      <c r="A435" s="351" t="s">
        <v>0</v>
      </c>
      <c r="B435" s="351" t="s">
        <v>1</v>
      </c>
      <c r="C435" s="351" t="s">
        <v>214</v>
      </c>
      <c r="D435" s="57" t="s">
        <v>215</v>
      </c>
      <c r="E435" s="49" t="s">
        <v>216</v>
      </c>
      <c r="F435" s="351" t="s">
        <v>0</v>
      </c>
      <c r="G435" s="49" t="s">
        <v>217</v>
      </c>
      <c r="H435" s="351" t="s">
        <v>218</v>
      </c>
      <c r="I435" s="49" t="s">
        <v>219</v>
      </c>
      <c r="J435" s="49" t="s">
        <v>216</v>
      </c>
      <c r="K435" s="351" t="s">
        <v>0</v>
      </c>
      <c r="L435" s="49" t="s">
        <v>321</v>
      </c>
      <c r="M435" s="49" t="s">
        <v>224</v>
      </c>
      <c r="N435" s="49" t="s">
        <v>216</v>
      </c>
      <c r="O435" s="496"/>
      <c r="P435" s="496"/>
      <c r="Q435" s="496"/>
      <c r="R435" s="496"/>
    </row>
    <row r="436" spans="1:18" ht="15.75" x14ac:dyDescent="0.25">
      <c r="A436" s="50"/>
      <c r="B436" s="14" t="s">
        <v>195</v>
      </c>
      <c r="C436" s="396">
        <v>3</v>
      </c>
      <c r="D436" s="51">
        <f>+'kardex reactivos 3'!G413</f>
        <v>7.8200000000000006E-2</v>
      </c>
      <c r="E436" s="51">
        <f>+C436*D436</f>
        <v>0.23460000000000003</v>
      </c>
      <c r="F436" s="37"/>
      <c r="G436" s="37"/>
      <c r="H436" s="37">
        <f>+'Minutos MOD por exmen '!C27</f>
        <v>0.31666666666666665</v>
      </c>
      <c r="I436" s="100">
        <f>+'tasa MOD '!I37</f>
        <v>4.4725192584766118</v>
      </c>
      <c r="J436" s="37">
        <f>+I436*H436</f>
        <v>1.4162977651842603</v>
      </c>
      <c r="K436" s="37"/>
      <c r="L436" s="37">
        <f>+J445</f>
        <v>1.4162977651842603</v>
      </c>
      <c r="M436" s="109">
        <f>+'tasa cif'!G9</f>
        <v>0.76985269116945931</v>
      </c>
      <c r="N436" s="37">
        <f>+L436*M436</f>
        <v>1.0903406460243938</v>
      </c>
      <c r="O436" s="505" t="s">
        <v>225</v>
      </c>
      <c r="P436" s="505"/>
      <c r="Q436" s="35">
        <f>+E445</f>
        <v>0.40883999999999998</v>
      </c>
      <c r="R436" s="38"/>
    </row>
    <row r="437" spans="1:18" ht="15.75" x14ac:dyDescent="0.25">
      <c r="A437" s="50"/>
      <c r="B437" s="14" t="s">
        <v>233</v>
      </c>
      <c r="C437" s="396">
        <v>1</v>
      </c>
      <c r="D437" s="51">
        <f>+'kardex reactivos 1'!G334</f>
        <v>5.3400000000000017E-2</v>
      </c>
      <c r="E437" s="51">
        <f>+C437*D437</f>
        <v>5.3400000000000017E-2</v>
      </c>
      <c r="F437" s="37"/>
      <c r="G437" s="37"/>
      <c r="H437" s="37"/>
      <c r="I437" s="37"/>
      <c r="J437" s="37"/>
      <c r="K437" s="37"/>
      <c r="L437" s="37"/>
      <c r="M437" s="37"/>
      <c r="N437" s="37"/>
      <c r="O437" s="505" t="s">
        <v>226</v>
      </c>
      <c r="P437" s="505"/>
      <c r="Q437">
        <f>+J445</f>
        <v>1.4162977651842603</v>
      </c>
      <c r="R437" s="38"/>
    </row>
    <row r="438" spans="1:18" ht="15.75" x14ac:dyDescent="0.25">
      <c r="A438" s="50"/>
      <c r="B438" s="14" t="s">
        <v>234</v>
      </c>
      <c r="C438" s="396">
        <v>1</v>
      </c>
      <c r="D438" s="51">
        <f>+'kardex reactivos 1'!G356</f>
        <v>3.4979999999999976E-2</v>
      </c>
      <c r="E438" s="51">
        <f>+C438*D438</f>
        <v>3.4979999999999976E-2</v>
      </c>
      <c r="F438" s="37"/>
      <c r="G438" s="37"/>
      <c r="H438" s="37"/>
      <c r="I438" s="37"/>
      <c r="J438" s="37"/>
      <c r="K438" s="37"/>
      <c r="L438" s="37"/>
      <c r="M438" s="37"/>
      <c r="N438" s="37"/>
      <c r="O438" s="43" t="s">
        <v>227</v>
      </c>
      <c r="P438" s="349"/>
      <c r="Q438">
        <f>+N445</f>
        <v>1.0903406460243938</v>
      </c>
      <c r="R438" s="38"/>
    </row>
    <row r="439" spans="1:18" ht="16.5" thickBot="1" x14ac:dyDescent="0.3">
      <c r="A439" s="50"/>
      <c r="B439" s="14" t="s">
        <v>98</v>
      </c>
      <c r="C439" s="396">
        <v>1</v>
      </c>
      <c r="D439" s="51">
        <f>+'kardex reactivos 1'!G378</f>
        <v>2.8859999999999993E-2</v>
      </c>
      <c r="E439" s="51">
        <f t="shared" ref="E439:E444" si="21">+C439*D439</f>
        <v>2.8859999999999993E-2</v>
      </c>
      <c r="F439" s="37"/>
      <c r="G439" s="37"/>
      <c r="H439" s="37"/>
      <c r="I439" s="37"/>
      <c r="J439" s="37"/>
      <c r="K439" s="37"/>
      <c r="L439" s="37"/>
      <c r="M439" s="37"/>
      <c r="N439" s="37"/>
      <c r="O439" s="43"/>
      <c r="P439" s="349"/>
      <c r="Q439" s="356">
        <f>SUM(Q436:Q438)</f>
        <v>2.915478411208654</v>
      </c>
      <c r="R439" s="38"/>
    </row>
    <row r="440" spans="1:18" ht="16.5" thickTop="1" x14ac:dyDescent="0.25">
      <c r="A440" s="50"/>
      <c r="B440" s="14" t="s">
        <v>99</v>
      </c>
      <c r="C440" s="396">
        <v>1.5</v>
      </c>
      <c r="D440" s="51">
        <f>+'kardex reactivos 1'!G403</f>
        <v>3.7999999999999992E-2</v>
      </c>
      <c r="E440" s="51">
        <f t="shared" si="21"/>
        <v>5.6999999999999988E-2</v>
      </c>
      <c r="F440" s="37"/>
      <c r="G440" s="37"/>
      <c r="H440" s="37"/>
      <c r="I440" s="37"/>
      <c r="J440" s="37"/>
      <c r="K440" s="37"/>
      <c r="L440" s="37"/>
      <c r="M440" s="37"/>
      <c r="N440" s="37"/>
      <c r="O440" s="43"/>
      <c r="P440" s="349"/>
      <c r="R440" s="38"/>
    </row>
    <row r="441" spans="1:18" ht="15.75" x14ac:dyDescent="0.25">
      <c r="A441" s="50"/>
      <c r="B441" s="14" t="s">
        <v>582</v>
      </c>
      <c r="C441" s="396">
        <v>2</v>
      </c>
      <c r="D441" s="51">
        <f>+'kardex reactivos 3'!G426</f>
        <v>0.20166666666666666</v>
      </c>
      <c r="E441" s="51">
        <f t="shared" si="21"/>
        <v>0.40333333333333332</v>
      </c>
      <c r="F441" s="37"/>
      <c r="G441" s="37"/>
      <c r="H441" s="37"/>
      <c r="I441" s="37"/>
      <c r="J441" s="37"/>
      <c r="K441" s="37"/>
      <c r="L441" s="37"/>
      <c r="M441" s="37"/>
      <c r="N441" s="37"/>
      <c r="O441" s="43"/>
      <c r="P441" s="397"/>
      <c r="R441" s="38"/>
    </row>
    <row r="442" spans="1:18" ht="15.75" x14ac:dyDescent="0.25">
      <c r="A442" s="50"/>
      <c r="B442" s="14" t="s">
        <v>235</v>
      </c>
      <c r="C442" s="396">
        <v>1</v>
      </c>
      <c r="D442" s="51">
        <f>+'kardex reactivos 1'!G439</f>
        <v>8.2959999999999992E-2</v>
      </c>
      <c r="E442" s="51">
        <f t="shared" si="21"/>
        <v>8.2959999999999992E-2</v>
      </c>
      <c r="F442" s="37"/>
      <c r="G442" s="37"/>
      <c r="H442" s="37"/>
      <c r="I442" s="37"/>
      <c r="J442" s="37"/>
      <c r="K442" s="37"/>
      <c r="L442" s="37"/>
      <c r="M442" s="37"/>
      <c r="N442" s="37"/>
      <c r="O442" s="43"/>
      <c r="P442" s="397"/>
      <c r="R442" s="38"/>
    </row>
    <row r="443" spans="1:18" ht="15.75" x14ac:dyDescent="0.25">
      <c r="A443" s="50"/>
      <c r="B443" s="14" t="s">
        <v>696</v>
      </c>
      <c r="C443" s="396">
        <v>2.5</v>
      </c>
      <c r="D443" s="51">
        <f>+'kardex reactivos 3'!G438</f>
        <v>0.12239999999999999</v>
      </c>
      <c r="E443" s="51">
        <f t="shared" si="21"/>
        <v>0.30599999999999999</v>
      </c>
      <c r="F443" s="37"/>
      <c r="G443" s="37"/>
      <c r="H443" s="37"/>
      <c r="I443" s="37"/>
      <c r="J443" s="37"/>
      <c r="K443" s="37"/>
      <c r="L443" s="37"/>
      <c r="M443" s="37"/>
      <c r="N443" s="37"/>
      <c r="O443" s="43"/>
      <c r="P443" s="397"/>
      <c r="R443" s="38"/>
    </row>
    <row r="444" spans="1:18" ht="15.75" x14ac:dyDescent="0.25">
      <c r="A444" s="50"/>
      <c r="B444" s="14" t="s">
        <v>93</v>
      </c>
      <c r="C444" s="396">
        <v>0.5</v>
      </c>
      <c r="D444" s="51">
        <f>+'kardex reactivos 1'!G287</f>
        <v>4.2146666666666666E-2</v>
      </c>
      <c r="E444" s="51">
        <f t="shared" si="21"/>
        <v>2.1073333333333333E-2</v>
      </c>
      <c r="F444" s="37"/>
      <c r="G444" s="37"/>
      <c r="H444" s="37"/>
      <c r="I444" s="37"/>
      <c r="J444" s="37"/>
      <c r="K444" s="37"/>
      <c r="L444" s="37"/>
      <c r="M444" s="37"/>
      <c r="N444" s="37"/>
      <c r="O444" s="43"/>
      <c r="P444" s="397"/>
      <c r="R444" s="38"/>
    </row>
    <row r="445" spans="1:18" ht="15.75" x14ac:dyDescent="0.25">
      <c r="A445" s="489" t="s">
        <v>220</v>
      </c>
      <c r="B445" s="489"/>
      <c r="C445" s="489"/>
      <c r="D445" s="489"/>
      <c r="E445" s="52">
        <f>SUM(E436:E440)</f>
        <v>0.40883999999999998</v>
      </c>
      <c r="F445" s="37"/>
      <c r="G445" s="37"/>
      <c r="H445" s="489" t="s">
        <v>220</v>
      </c>
      <c r="I445" s="489"/>
      <c r="J445" s="53">
        <f>+J436</f>
        <v>1.4162977651842603</v>
      </c>
      <c r="K445" s="37"/>
      <c r="L445" s="37"/>
      <c r="M445" s="37"/>
      <c r="N445" s="37">
        <f>+N436</f>
        <v>1.0903406460243938</v>
      </c>
      <c r="O445" s="490"/>
      <c r="P445" s="491"/>
      <c r="Q445" s="367"/>
      <c r="R445" s="357"/>
    </row>
    <row r="449" spans="1:18" ht="15.75" x14ac:dyDescent="0.25">
      <c r="A449" s="506" t="s">
        <v>208</v>
      </c>
      <c r="B449" s="507"/>
      <c r="C449" s="507"/>
      <c r="D449" s="507"/>
      <c r="E449" s="507"/>
      <c r="F449" s="507"/>
      <c r="G449" s="507"/>
      <c r="H449" s="507"/>
      <c r="I449" s="507"/>
      <c r="J449" s="507"/>
      <c r="K449" s="507"/>
      <c r="L449" s="507"/>
      <c r="M449" s="507"/>
      <c r="N449" s="507"/>
      <c r="O449" s="507"/>
      <c r="P449" s="507"/>
      <c r="Q449" s="507"/>
      <c r="R449" s="508"/>
    </row>
    <row r="450" spans="1:18" ht="15.75" x14ac:dyDescent="0.25">
      <c r="A450" s="347" t="s">
        <v>209</v>
      </c>
      <c r="B450" s="348"/>
      <c r="C450" s="39"/>
      <c r="D450" s="55"/>
      <c r="E450" s="39"/>
      <c r="F450" s="39"/>
      <c r="G450" s="39"/>
      <c r="H450" s="494"/>
      <c r="I450" s="494"/>
      <c r="J450" s="494"/>
      <c r="K450" s="39"/>
      <c r="L450" s="39"/>
      <c r="M450" s="39"/>
      <c r="N450" s="39"/>
      <c r="O450" s="39"/>
      <c r="P450" s="39"/>
      <c r="Q450" s="39"/>
      <c r="R450" s="42"/>
    </row>
    <row r="451" spans="1:18" ht="15.75" x14ac:dyDescent="0.25">
      <c r="A451" s="347" t="s">
        <v>228</v>
      </c>
      <c r="B451" s="493" t="s">
        <v>584</v>
      </c>
      <c r="C451" s="493"/>
      <c r="D451" s="55"/>
      <c r="E451" s="39"/>
      <c r="F451" s="39"/>
      <c r="G451" s="39"/>
      <c r="H451" s="494"/>
      <c r="I451" s="494"/>
      <c r="J451" s="494"/>
      <c r="K451" s="39"/>
      <c r="L451" s="39"/>
      <c r="M451" s="39"/>
      <c r="N451" s="39"/>
      <c r="O451" s="39"/>
      <c r="P451" s="39"/>
      <c r="Q451" s="39"/>
      <c r="R451" s="42"/>
    </row>
    <row r="452" spans="1:18" ht="15.75" x14ac:dyDescent="0.25">
      <c r="A452" s="492" t="s">
        <v>210</v>
      </c>
      <c r="B452" s="493"/>
      <c r="C452" s="348"/>
      <c r="D452" s="56"/>
      <c r="E452" s="39"/>
      <c r="F452" s="39"/>
      <c r="G452" s="39"/>
      <c r="H452" s="494"/>
      <c r="I452" s="494"/>
      <c r="J452" s="494"/>
      <c r="K452" s="39"/>
      <c r="L452" s="39"/>
      <c r="M452" s="39"/>
      <c r="N452" s="39"/>
      <c r="O452" s="39"/>
      <c r="P452" s="39"/>
      <c r="Q452" s="39"/>
      <c r="R452" s="42"/>
    </row>
    <row r="453" spans="1:18" ht="15.75" x14ac:dyDescent="0.25">
      <c r="A453" s="495" t="s">
        <v>211</v>
      </c>
      <c r="B453" s="494"/>
      <c r="C453" s="494"/>
      <c r="D453" s="55"/>
      <c r="E453" s="39"/>
      <c r="F453" s="39"/>
      <c r="G453" s="39"/>
      <c r="H453" s="494"/>
      <c r="I453" s="494"/>
      <c r="J453" s="494"/>
      <c r="K453" s="39"/>
      <c r="L453" s="39"/>
      <c r="M453" s="39"/>
      <c r="N453" s="39"/>
      <c r="O453" s="39"/>
      <c r="P453" s="39"/>
      <c r="Q453" s="39"/>
      <c r="R453" s="42"/>
    </row>
    <row r="454" spans="1:18" ht="15.75" x14ac:dyDescent="0.25">
      <c r="A454" s="496" t="s">
        <v>212</v>
      </c>
      <c r="B454" s="496"/>
      <c r="C454" s="496"/>
      <c r="D454" s="496"/>
      <c r="E454" s="496"/>
      <c r="F454" s="496" t="s">
        <v>213</v>
      </c>
      <c r="G454" s="496"/>
      <c r="H454" s="496"/>
      <c r="I454" s="496"/>
      <c r="J454" s="496"/>
      <c r="K454" s="497" t="s">
        <v>221</v>
      </c>
      <c r="L454" s="497"/>
      <c r="M454" s="497"/>
      <c r="N454" s="497"/>
      <c r="O454" s="496" t="s">
        <v>222</v>
      </c>
      <c r="P454" s="496"/>
      <c r="Q454" s="496"/>
      <c r="R454" s="496"/>
    </row>
    <row r="455" spans="1:18" ht="31.5" x14ac:dyDescent="0.25">
      <c r="A455" s="351" t="s">
        <v>0</v>
      </c>
      <c r="B455" s="351" t="s">
        <v>1</v>
      </c>
      <c r="C455" s="351" t="s">
        <v>214</v>
      </c>
      <c r="D455" s="57" t="s">
        <v>215</v>
      </c>
      <c r="E455" s="49" t="s">
        <v>216</v>
      </c>
      <c r="F455" s="351" t="s">
        <v>0</v>
      </c>
      <c r="G455" s="49" t="s">
        <v>217</v>
      </c>
      <c r="H455" s="351" t="s">
        <v>218</v>
      </c>
      <c r="I455" s="49" t="s">
        <v>219</v>
      </c>
      <c r="J455" s="49" t="s">
        <v>216</v>
      </c>
      <c r="K455" s="351" t="s">
        <v>0</v>
      </c>
      <c r="L455" s="49" t="s">
        <v>321</v>
      </c>
      <c r="M455" s="49" t="s">
        <v>224</v>
      </c>
      <c r="N455" s="49" t="s">
        <v>216</v>
      </c>
      <c r="O455" s="496"/>
      <c r="P455" s="496"/>
      <c r="Q455" s="496"/>
      <c r="R455" s="496"/>
    </row>
    <row r="456" spans="1:18" ht="15.75" x14ac:dyDescent="0.25">
      <c r="A456" s="50"/>
      <c r="B456" s="14" t="s">
        <v>585</v>
      </c>
      <c r="C456" s="346">
        <v>1</v>
      </c>
      <c r="D456" s="51">
        <f>+'kardex reactivos 3'!G252</f>
        <v>0.41666666666666669</v>
      </c>
      <c r="E456" s="51">
        <f>+C456*D456</f>
        <v>0.41666666666666669</v>
      </c>
      <c r="F456" s="37"/>
      <c r="G456" s="37"/>
      <c r="H456" s="37">
        <f>+'Minutos MOD por exmen '!C28</f>
        <v>0.16666666666666666</v>
      </c>
      <c r="I456" s="100">
        <f>+'tasa MOD '!I37</f>
        <v>4.4725192584766118</v>
      </c>
      <c r="J456" s="37">
        <f>+I456*H456</f>
        <v>0.74541987641276863</v>
      </c>
      <c r="K456" s="37"/>
      <c r="L456" s="37">
        <f>+J460</f>
        <v>0.74541987641276863</v>
      </c>
      <c r="M456" s="109">
        <f>+'tasa cif'!G9</f>
        <v>0.76985269116945931</v>
      </c>
      <c r="N456" s="37">
        <f>+L456*M456</f>
        <v>0.57386349790757574</v>
      </c>
      <c r="O456" s="505" t="s">
        <v>225</v>
      </c>
      <c r="P456" s="505"/>
      <c r="Q456" s="35">
        <f>+E460</f>
        <v>0.41666666666666669</v>
      </c>
      <c r="R456" s="38"/>
    </row>
    <row r="457" spans="1:18" ht="15.75" x14ac:dyDescent="0.25">
      <c r="A457" s="50"/>
      <c r="B457" s="14"/>
      <c r="C457" s="346"/>
      <c r="D457" s="51"/>
      <c r="E457" s="51">
        <f>+C457*D457</f>
        <v>0</v>
      </c>
      <c r="F457" s="37"/>
      <c r="G457" s="37"/>
      <c r="H457" s="37"/>
      <c r="I457" s="37"/>
      <c r="J457" s="37"/>
      <c r="K457" s="37"/>
      <c r="L457" s="37"/>
      <c r="M457" s="37"/>
      <c r="N457" s="37"/>
      <c r="O457" s="505" t="s">
        <v>226</v>
      </c>
      <c r="P457" s="505"/>
      <c r="Q457">
        <f>+J460</f>
        <v>0.74541987641276863</v>
      </c>
      <c r="R457" s="38"/>
    </row>
    <row r="458" spans="1:18" ht="15.75" x14ac:dyDescent="0.25">
      <c r="A458" s="50"/>
      <c r="B458" s="14"/>
      <c r="C458" s="346"/>
      <c r="D458" s="51"/>
      <c r="E458" s="51">
        <f>+C458*D458</f>
        <v>0</v>
      </c>
      <c r="F458" s="37"/>
      <c r="G458" s="37"/>
      <c r="H458" s="37"/>
      <c r="I458" s="37"/>
      <c r="J458" s="37"/>
      <c r="K458" s="37"/>
      <c r="L458" s="37"/>
      <c r="M458" s="37"/>
      <c r="N458" s="37"/>
      <c r="O458" s="43" t="s">
        <v>227</v>
      </c>
      <c r="P458" s="349"/>
      <c r="Q458">
        <f>+N460</f>
        <v>0.57386349790757574</v>
      </c>
      <c r="R458" s="38"/>
    </row>
    <row r="459" spans="1:18" ht="16.5" thickBot="1" x14ac:dyDescent="0.3">
      <c r="A459" s="50"/>
      <c r="B459" s="14"/>
      <c r="C459" s="346"/>
      <c r="D459" s="51"/>
      <c r="E459" s="51">
        <f t="shared" ref="E459" si="22">+C459*D459</f>
        <v>0</v>
      </c>
      <c r="F459" s="37"/>
      <c r="G459" s="37"/>
      <c r="H459" s="37"/>
      <c r="I459" s="37"/>
      <c r="J459" s="37"/>
      <c r="K459" s="37"/>
      <c r="L459" s="37"/>
      <c r="M459" s="37"/>
      <c r="N459" s="37"/>
      <c r="O459" s="43"/>
      <c r="P459" s="349"/>
      <c r="Q459" s="356">
        <f>SUM(Q456:Q458)</f>
        <v>1.735950040987011</v>
      </c>
      <c r="R459" s="38"/>
    </row>
    <row r="460" spans="1:18" ht="16.5" thickTop="1" x14ac:dyDescent="0.25">
      <c r="A460" s="489" t="s">
        <v>220</v>
      </c>
      <c r="B460" s="489"/>
      <c r="C460" s="489"/>
      <c r="D460" s="489"/>
      <c r="E460" s="52">
        <f>SUM(E456:E459)</f>
        <v>0.41666666666666669</v>
      </c>
      <c r="F460" s="37"/>
      <c r="G460" s="37"/>
      <c r="H460" s="489" t="s">
        <v>220</v>
      </c>
      <c r="I460" s="489"/>
      <c r="J460" s="53">
        <f>+J456</f>
        <v>0.74541987641276863</v>
      </c>
      <c r="K460" s="37"/>
      <c r="L460" s="37"/>
      <c r="M460" s="37"/>
      <c r="N460" s="37">
        <f>+N456</f>
        <v>0.57386349790757574</v>
      </c>
      <c r="O460" s="490"/>
      <c r="P460" s="491"/>
      <c r="Q460" s="367"/>
      <c r="R460" s="357"/>
    </row>
    <row r="463" spans="1:18" ht="15.75" x14ac:dyDescent="0.25">
      <c r="A463" s="506" t="s">
        <v>208</v>
      </c>
      <c r="B463" s="507"/>
      <c r="C463" s="507"/>
      <c r="D463" s="507"/>
      <c r="E463" s="507"/>
      <c r="F463" s="507"/>
      <c r="G463" s="507"/>
      <c r="H463" s="507"/>
      <c r="I463" s="507"/>
      <c r="J463" s="507"/>
      <c r="K463" s="507"/>
      <c r="L463" s="507"/>
      <c r="M463" s="507"/>
      <c r="N463" s="507"/>
      <c r="O463" s="507"/>
      <c r="P463" s="507"/>
      <c r="Q463" s="507"/>
      <c r="R463" s="508"/>
    </row>
    <row r="464" spans="1:18" ht="15.75" x14ac:dyDescent="0.25">
      <c r="A464" s="347" t="s">
        <v>209</v>
      </c>
      <c r="B464" s="348"/>
      <c r="C464" s="39"/>
      <c r="D464" s="55"/>
      <c r="E464" s="39"/>
      <c r="F464" s="39"/>
      <c r="G464" s="39"/>
      <c r="H464" s="494"/>
      <c r="I464" s="494"/>
      <c r="J464" s="494"/>
      <c r="K464" s="39"/>
      <c r="L464" s="39"/>
      <c r="M464" s="39"/>
      <c r="N464" s="39"/>
      <c r="O464" s="39"/>
      <c r="P464" s="39"/>
      <c r="Q464" s="39"/>
      <c r="R464" s="42"/>
    </row>
    <row r="465" spans="1:18" ht="15.75" x14ac:dyDescent="0.25">
      <c r="A465" s="347" t="s">
        <v>228</v>
      </c>
      <c r="B465" s="493" t="s">
        <v>587</v>
      </c>
      <c r="C465" s="493"/>
      <c r="D465" s="55"/>
      <c r="E465" s="39"/>
      <c r="F465" s="39"/>
      <c r="G465" s="39"/>
      <c r="H465" s="494"/>
      <c r="I465" s="494"/>
      <c r="J465" s="494"/>
      <c r="K465" s="39"/>
      <c r="L465" s="39"/>
      <c r="M465" s="39"/>
      <c r="N465" s="39"/>
      <c r="O465" s="39"/>
      <c r="P465" s="39"/>
      <c r="Q465" s="39"/>
      <c r="R465" s="42"/>
    </row>
    <row r="466" spans="1:18" ht="15.75" x14ac:dyDescent="0.25">
      <c r="A466" s="492" t="s">
        <v>210</v>
      </c>
      <c r="B466" s="493"/>
      <c r="C466" s="348"/>
      <c r="D466" s="56"/>
      <c r="E466" s="39"/>
      <c r="F466" s="39"/>
      <c r="G466" s="39"/>
      <c r="H466" s="494"/>
      <c r="I466" s="494"/>
      <c r="J466" s="494"/>
      <c r="K466" s="39"/>
      <c r="L466" s="39"/>
      <c r="M466" s="39"/>
      <c r="N466" s="39"/>
      <c r="O466" s="39"/>
      <c r="P466" s="39"/>
      <c r="Q466" s="39"/>
      <c r="R466" s="42"/>
    </row>
    <row r="467" spans="1:18" ht="15.75" x14ac:dyDescent="0.25">
      <c r="A467" s="495" t="s">
        <v>211</v>
      </c>
      <c r="B467" s="494"/>
      <c r="C467" s="494"/>
      <c r="D467" s="55"/>
      <c r="E467" s="39"/>
      <c r="F467" s="39"/>
      <c r="G467" s="39"/>
      <c r="H467" s="494"/>
      <c r="I467" s="494"/>
      <c r="J467" s="494"/>
      <c r="K467" s="39"/>
      <c r="L467" s="39"/>
      <c r="M467" s="39"/>
      <c r="N467" s="39"/>
      <c r="O467" s="39"/>
      <c r="P467" s="39"/>
      <c r="Q467" s="39"/>
      <c r="R467" s="42"/>
    </row>
    <row r="468" spans="1:18" ht="15.75" x14ac:dyDescent="0.25">
      <c r="A468" s="496" t="s">
        <v>212</v>
      </c>
      <c r="B468" s="496"/>
      <c r="C468" s="496"/>
      <c r="D468" s="496"/>
      <c r="E468" s="496"/>
      <c r="F468" s="496" t="s">
        <v>213</v>
      </c>
      <c r="G468" s="496"/>
      <c r="H468" s="496"/>
      <c r="I468" s="496"/>
      <c r="J468" s="496"/>
      <c r="K468" s="497" t="s">
        <v>221</v>
      </c>
      <c r="L468" s="497"/>
      <c r="M468" s="497"/>
      <c r="N468" s="497"/>
      <c r="O468" s="496" t="s">
        <v>222</v>
      </c>
      <c r="P468" s="496"/>
      <c r="Q468" s="496"/>
      <c r="R468" s="496"/>
    </row>
    <row r="469" spans="1:18" ht="31.5" x14ac:dyDescent="0.25">
      <c r="A469" s="351" t="s">
        <v>0</v>
      </c>
      <c r="B469" s="351" t="s">
        <v>1</v>
      </c>
      <c r="C469" s="351" t="s">
        <v>214</v>
      </c>
      <c r="D469" s="57" t="s">
        <v>215</v>
      </c>
      <c r="E469" s="49" t="s">
        <v>216</v>
      </c>
      <c r="F469" s="351" t="s">
        <v>0</v>
      </c>
      <c r="G469" s="49" t="s">
        <v>217</v>
      </c>
      <c r="H469" s="351" t="s">
        <v>218</v>
      </c>
      <c r="I469" s="49" t="s">
        <v>219</v>
      </c>
      <c r="J469" s="49" t="s">
        <v>216</v>
      </c>
      <c r="K469" s="351" t="s">
        <v>0</v>
      </c>
      <c r="L469" s="49" t="s">
        <v>321</v>
      </c>
      <c r="M469" s="49" t="s">
        <v>224</v>
      </c>
      <c r="N469" s="49" t="s">
        <v>216</v>
      </c>
      <c r="O469" s="496"/>
      <c r="P469" s="496"/>
      <c r="Q469" s="496"/>
      <c r="R469" s="496"/>
    </row>
    <row r="470" spans="1:18" ht="15.75" x14ac:dyDescent="0.25">
      <c r="A470" s="50"/>
      <c r="B470" s="14" t="s">
        <v>76</v>
      </c>
      <c r="C470" s="346">
        <v>1</v>
      </c>
      <c r="D470" s="51">
        <f>+'kardex reactivos 1'!G91</f>
        <v>0.53400000000000003</v>
      </c>
      <c r="E470" s="51">
        <f>+C470*D470</f>
        <v>0.53400000000000003</v>
      </c>
      <c r="F470" s="37"/>
      <c r="G470" s="37"/>
      <c r="H470" s="37">
        <f>+'Minutos MOD por exmen '!C29</f>
        <v>0.18333333333333332</v>
      </c>
      <c r="I470" s="100">
        <f>+'tasa MOD '!I37</f>
        <v>4.4725192584766118</v>
      </c>
      <c r="J470" s="37">
        <f>+I470*H470</f>
        <v>0.81996186405404548</v>
      </c>
      <c r="K470" s="37"/>
      <c r="L470" s="37">
        <f>+J474</f>
        <v>0.81996186405404548</v>
      </c>
      <c r="M470" s="109">
        <f>+'tasa cif'!G9</f>
        <v>0.76985269116945931</v>
      </c>
      <c r="N470" s="37">
        <f>+L470*M470</f>
        <v>0.63124984769833326</v>
      </c>
      <c r="O470" s="505" t="s">
        <v>225</v>
      </c>
      <c r="P470" s="505"/>
      <c r="Q470" s="35">
        <f>+E474</f>
        <v>0.53400000000000003</v>
      </c>
      <c r="R470" s="38"/>
    </row>
    <row r="471" spans="1:18" ht="15.75" x14ac:dyDescent="0.25">
      <c r="A471" s="50"/>
      <c r="B471" s="14"/>
      <c r="C471" s="346"/>
      <c r="D471" s="51"/>
      <c r="E471" s="51">
        <f>+C471*D471</f>
        <v>0</v>
      </c>
      <c r="F471" s="37"/>
      <c r="G471" s="37"/>
      <c r="H471" s="37"/>
      <c r="I471" s="37"/>
      <c r="J471" s="37"/>
      <c r="K471" s="37"/>
      <c r="L471" s="37"/>
      <c r="M471" s="37"/>
      <c r="N471" s="37"/>
      <c r="O471" s="505" t="s">
        <v>226</v>
      </c>
      <c r="P471" s="505"/>
      <c r="Q471">
        <f>+J474</f>
        <v>0.81996186405404548</v>
      </c>
      <c r="R471" s="38"/>
    </row>
    <row r="472" spans="1:18" ht="15.75" x14ac:dyDescent="0.25">
      <c r="A472" s="50"/>
      <c r="B472" s="14"/>
      <c r="C472" s="346"/>
      <c r="D472" s="51"/>
      <c r="E472" s="51">
        <f>+C472*D472</f>
        <v>0</v>
      </c>
      <c r="F472" s="37"/>
      <c r="G472" s="37"/>
      <c r="H472" s="37"/>
      <c r="I472" s="37"/>
      <c r="J472" s="37"/>
      <c r="K472" s="37"/>
      <c r="L472" s="37"/>
      <c r="M472" s="37"/>
      <c r="N472" s="37"/>
      <c r="O472" s="43" t="s">
        <v>227</v>
      </c>
      <c r="P472" s="349"/>
      <c r="Q472">
        <f>+N474</f>
        <v>0.63124984769833326</v>
      </c>
      <c r="R472" s="38"/>
    </row>
    <row r="473" spans="1:18" ht="16.5" thickBot="1" x14ac:dyDescent="0.3">
      <c r="A473" s="50"/>
      <c r="B473" s="14"/>
      <c r="C473" s="346"/>
      <c r="D473" s="51"/>
      <c r="E473" s="51">
        <f t="shared" ref="E473" si="23">+C473*D473</f>
        <v>0</v>
      </c>
      <c r="F473" s="37"/>
      <c r="G473" s="37"/>
      <c r="H473" s="37"/>
      <c r="I473" s="37"/>
      <c r="J473" s="37"/>
      <c r="K473" s="37"/>
      <c r="L473" s="37"/>
      <c r="M473" s="37"/>
      <c r="N473" s="37"/>
      <c r="O473" s="43"/>
      <c r="P473" s="349"/>
      <c r="Q473" s="356">
        <f>SUM(Q470:Q472)</f>
        <v>1.9852117117523789</v>
      </c>
      <c r="R473" s="38"/>
    </row>
    <row r="474" spans="1:18" ht="16.5" thickTop="1" x14ac:dyDescent="0.25">
      <c r="A474" s="489" t="s">
        <v>220</v>
      </c>
      <c r="B474" s="489"/>
      <c r="C474" s="489"/>
      <c r="D474" s="489"/>
      <c r="E474" s="52">
        <f>SUM(E470:E473)</f>
        <v>0.53400000000000003</v>
      </c>
      <c r="F474" s="37"/>
      <c r="G474" s="37"/>
      <c r="H474" s="489" t="s">
        <v>220</v>
      </c>
      <c r="I474" s="489"/>
      <c r="J474" s="53">
        <f>+J470</f>
        <v>0.81996186405404548</v>
      </c>
      <c r="K474" s="37"/>
      <c r="L474" s="37"/>
      <c r="M474" s="37"/>
      <c r="N474" s="37">
        <f>+N470</f>
        <v>0.63124984769833326</v>
      </c>
      <c r="O474" s="490"/>
      <c r="P474" s="491"/>
      <c r="Q474" s="367"/>
      <c r="R474" s="357"/>
    </row>
    <row r="477" spans="1:18" ht="15.75" x14ac:dyDescent="0.25">
      <c r="A477" s="506" t="s">
        <v>208</v>
      </c>
      <c r="B477" s="507"/>
      <c r="C477" s="507"/>
      <c r="D477" s="507"/>
      <c r="E477" s="507"/>
      <c r="F477" s="507"/>
      <c r="G477" s="507"/>
      <c r="H477" s="507"/>
      <c r="I477" s="507"/>
      <c r="J477" s="507"/>
      <c r="K477" s="507"/>
      <c r="L477" s="507"/>
      <c r="M477" s="507"/>
      <c r="N477" s="507"/>
      <c r="O477" s="507"/>
      <c r="P477" s="507"/>
      <c r="Q477" s="507"/>
      <c r="R477" s="508"/>
    </row>
    <row r="478" spans="1:18" ht="15.75" x14ac:dyDescent="0.25">
      <c r="A478" s="347" t="s">
        <v>209</v>
      </c>
      <c r="B478" s="348"/>
      <c r="C478" s="39"/>
      <c r="D478" s="55"/>
      <c r="E478" s="39"/>
      <c r="F478" s="39"/>
      <c r="G478" s="39"/>
      <c r="H478" s="494"/>
      <c r="I478" s="494"/>
      <c r="J478" s="494"/>
      <c r="K478" s="39"/>
      <c r="L478" s="39"/>
      <c r="M478" s="39"/>
      <c r="N478" s="39"/>
      <c r="O478" s="39"/>
      <c r="P478" s="39"/>
      <c r="Q478" s="39"/>
      <c r="R478" s="42"/>
    </row>
    <row r="479" spans="1:18" ht="15.75" x14ac:dyDescent="0.25">
      <c r="A479" s="347" t="s">
        <v>228</v>
      </c>
      <c r="B479" s="493" t="s">
        <v>589</v>
      </c>
      <c r="C479" s="493"/>
      <c r="D479" s="55"/>
      <c r="E479" s="39"/>
      <c r="F479" s="39"/>
      <c r="G479" s="39"/>
      <c r="H479" s="494"/>
      <c r="I479" s="494"/>
      <c r="J479" s="494"/>
      <c r="K479" s="39"/>
      <c r="L479" s="39"/>
      <c r="M479" s="39"/>
      <c r="N479" s="39"/>
      <c r="O479" s="39"/>
      <c r="P479" s="39"/>
      <c r="Q479" s="39"/>
      <c r="R479" s="42"/>
    </row>
    <row r="480" spans="1:18" ht="15.75" x14ac:dyDescent="0.25">
      <c r="A480" s="492" t="s">
        <v>210</v>
      </c>
      <c r="B480" s="493"/>
      <c r="C480" s="348"/>
      <c r="D480" s="56"/>
      <c r="E480" s="39"/>
      <c r="F480" s="39"/>
      <c r="G480" s="39"/>
      <c r="H480" s="494"/>
      <c r="I480" s="494"/>
      <c r="J480" s="494"/>
      <c r="K480" s="39"/>
      <c r="L480" s="39"/>
      <c r="M480" s="39"/>
      <c r="N480" s="39"/>
      <c r="O480" s="39"/>
      <c r="P480" s="39"/>
      <c r="Q480" s="39"/>
      <c r="R480" s="42"/>
    </row>
    <row r="481" spans="1:18" ht="15.75" x14ac:dyDescent="0.25">
      <c r="A481" s="495" t="s">
        <v>211</v>
      </c>
      <c r="B481" s="494"/>
      <c r="C481" s="494"/>
      <c r="D481" s="55"/>
      <c r="E481" s="39"/>
      <c r="F481" s="39"/>
      <c r="G481" s="39"/>
      <c r="H481" s="494"/>
      <c r="I481" s="494"/>
      <c r="J481" s="494"/>
      <c r="K481" s="39"/>
      <c r="L481" s="39"/>
      <c r="M481" s="39"/>
      <c r="N481" s="39"/>
      <c r="O481" s="39"/>
      <c r="P481" s="39"/>
      <c r="Q481" s="39"/>
      <c r="R481" s="42"/>
    </row>
    <row r="482" spans="1:18" ht="15.75" x14ac:dyDescent="0.25">
      <c r="A482" s="496" t="s">
        <v>212</v>
      </c>
      <c r="B482" s="496"/>
      <c r="C482" s="496"/>
      <c r="D482" s="496"/>
      <c r="E482" s="496"/>
      <c r="F482" s="496" t="s">
        <v>213</v>
      </c>
      <c r="G482" s="496"/>
      <c r="H482" s="496"/>
      <c r="I482" s="496"/>
      <c r="J482" s="496"/>
      <c r="K482" s="497" t="s">
        <v>221</v>
      </c>
      <c r="L482" s="497"/>
      <c r="M482" s="497"/>
      <c r="N482" s="497"/>
      <c r="O482" s="496" t="s">
        <v>222</v>
      </c>
      <c r="P482" s="496"/>
      <c r="Q482" s="496"/>
      <c r="R482" s="496"/>
    </row>
    <row r="483" spans="1:18" ht="31.5" x14ac:dyDescent="0.25">
      <c r="A483" s="351" t="s">
        <v>0</v>
      </c>
      <c r="B483" s="351" t="s">
        <v>1</v>
      </c>
      <c r="C483" s="351" t="s">
        <v>214</v>
      </c>
      <c r="D483" s="57" t="s">
        <v>215</v>
      </c>
      <c r="E483" s="49" t="s">
        <v>216</v>
      </c>
      <c r="F483" s="351" t="s">
        <v>0</v>
      </c>
      <c r="G483" s="49" t="s">
        <v>217</v>
      </c>
      <c r="H483" s="351" t="s">
        <v>218</v>
      </c>
      <c r="I483" s="49" t="s">
        <v>219</v>
      </c>
      <c r="J483" s="49" t="s">
        <v>216</v>
      </c>
      <c r="K483" s="351" t="s">
        <v>0</v>
      </c>
      <c r="L483" s="49" t="s">
        <v>321</v>
      </c>
      <c r="M483" s="49" t="s">
        <v>224</v>
      </c>
      <c r="N483" s="49" t="s">
        <v>216</v>
      </c>
      <c r="O483" s="496"/>
      <c r="P483" s="496"/>
      <c r="Q483" s="496"/>
      <c r="R483" s="496"/>
    </row>
    <row r="484" spans="1:18" ht="15.75" x14ac:dyDescent="0.25">
      <c r="A484" s="50"/>
      <c r="B484" s="14" t="s">
        <v>86</v>
      </c>
      <c r="C484" s="396">
        <v>0.5</v>
      </c>
      <c r="D484" s="51">
        <f>+'kardex reactivos 1'!G163</f>
        <v>4.1119999999999997E-2</v>
      </c>
      <c r="E484" s="51">
        <f>+C484*D484</f>
        <v>2.0559999999999998E-2</v>
      </c>
      <c r="F484" s="37"/>
      <c r="G484" s="37"/>
      <c r="H484" s="37">
        <f>+'Minutos MOD por exmen '!C30</f>
        <v>0.33333333333333331</v>
      </c>
      <c r="I484" s="100">
        <f>+'tasa MOD '!I37</f>
        <v>4.4725192584766118</v>
      </c>
      <c r="J484" s="37">
        <f>+I484*H484</f>
        <v>1.4908397528255373</v>
      </c>
      <c r="K484" s="37"/>
      <c r="L484" s="37">
        <f>+J491</f>
        <v>1.4908397528255373</v>
      </c>
      <c r="M484" s="109">
        <f>+'tasa cif'!G9</f>
        <v>0.76985269116945931</v>
      </c>
      <c r="N484" s="37">
        <f>+L484*M484</f>
        <v>1.1477269958151515</v>
      </c>
      <c r="O484" s="505" t="s">
        <v>225</v>
      </c>
      <c r="P484" s="505"/>
      <c r="Q484" s="35">
        <f>+E491</f>
        <v>0.62111333333333318</v>
      </c>
      <c r="R484" s="38"/>
    </row>
    <row r="485" spans="1:18" ht="15.75" x14ac:dyDescent="0.25">
      <c r="A485" s="50"/>
      <c r="B485" s="14" t="s">
        <v>87</v>
      </c>
      <c r="C485" s="396">
        <v>2</v>
      </c>
      <c r="D485" s="51">
        <f>+'kardex reactivos 1'!G178</f>
        <v>5.1740000000000001E-2</v>
      </c>
      <c r="E485" s="51">
        <f>+C485*D485</f>
        <v>0.10348</v>
      </c>
      <c r="F485" s="37"/>
      <c r="G485" s="37"/>
      <c r="H485" s="37"/>
      <c r="I485" s="37"/>
      <c r="J485" s="37"/>
      <c r="K485" s="37"/>
      <c r="L485" s="37"/>
      <c r="M485" s="37"/>
      <c r="N485" s="37"/>
      <c r="O485" s="505" t="s">
        <v>226</v>
      </c>
      <c r="P485" s="505"/>
      <c r="Q485">
        <f>+J491</f>
        <v>1.4908397528255373</v>
      </c>
      <c r="R485" s="38"/>
    </row>
    <row r="486" spans="1:18" ht="15.75" x14ac:dyDescent="0.25">
      <c r="A486" s="50"/>
      <c r="B486" s="14" t="s">
        <v>229</v>
      </c>
      <c r="C486" s="396">
        <v>1</v>
      </c>
      <c r="D486" s="51">
        <f>+'kardex reactivos 1'!G199</f>
        <v>6.8000000000000005E-2</v>
      </c>
      <c r="E486" s="51">
        <f>+C486*D486</f>
        <v>6.8000000000000005E-2</v>
      </c>
      <c r="F486" s="37"/>
      <c r="G486" s="37"/>
      <c r="H486" s="37"/>
      <c r="I486" s="37"/>
      <c r="J486" s="37"/>
      <c r="K486" s="37"/>
      <c r="L486" s="37"/>
      <c r="M486" s="37"/>
      <c r="N486" s="37"/>
      <c r="O486" s="43" t="s">
        <v>227</v>
      </c>
      <c r="P486" s="349"/>
      <c r="Q486">
        <f>+N491</f>
        <v>1.1477269958151515</v>
      </c>
      <c r="R486" s="38"/>
    </row>
    <row r="487" spans="1:18" ht="16.5" thickBot="1" x14ac:dyDescent="0.3">
      <c r="A487" s="50"/>
      <c r="B487" s="312" t="s">
        <v>230</v>
      </c>
      <c r="C487" s="396">
        <v>1</v>
      </c>
      <c r="D487" s="51">
        <f>+'kardex reactivos 1'!G221</f>
        <v>6.8000000000000005E-2</v>
      </c>
      <c r="E487" s="51">
        <f t="shared" ref="E487:E490" si="24">+C487*D487</f>
        <v>6.8000000000000005E-2</v>
      </c>
      <c r="F487" s="37"/>
      <c r="G487" s="37"/>
      <c r="H487" s="37"/>
      <c r="I487" s="37"/>
      <c r="J487" s="37"/>
      <c r="K487" s="37"/>
      <c r="L487" s="37"/>
      <c r="M487" s="37"/>
      <c r="N487" s="37"/>
      <c r="O487" s="43"/>
      <c r="P487" s="349"/>
      <c r="Q487" s="356">
        <f>SUM(Q484:Q486)</f>
        <v>3.2596800819740217</v>
      </c>
      <c r="R487" s="38"/>
    </row>
    <row r="488" spans="1:18" ht="16.5" thickTop="1" x14ac:dyDescent="0.25">
      <c r="A488" s="50"/>
      <c r="B488" s="14" t="s">
        <v>94</v>
      </c>
      <c r="C488" s="396">
        <v>3</v>
      </c>
      <c r="D488" s="51">
        <f>+'kardex reactivos 1'!G298</f>
        <v>5.6666666666666664E-2</v>
      </c>
      <c r="E488" s="51">
        <f t="shared" si="24"/>
        <v>0.16999999999999998</v>
      </c>
      <c r="F488" s="37"/>
      <c r="G488" s="37"/>
      <c r="H488" s="37"/>
      <c r="I488" s="37"/>
      <c r="J488" s="37"/>
      <c r="K488" s="37"/>
      <c r="L488" s="37"/>
      <c r="M488" s="37"/>
      <c r="N488" s="37"/>
      <c r="O488" s="43"/>
      <c r="P488" s="349"/>
      <c r="R488" s="38"/>
    </row>
    <row r="489" spans="1:18" ht="15.75" x14ac:dyDescent="0.25">
      <c r="A489" s="50"/>
      <c r="B489" s="312" t="s">
        <v>95</v>
      </c>
      <c r="C489" s="396">
        <v>3</v>
      </c>
      <c r="D489" s="51">
        <f>+'kardex reactivos 1'!G311</f>
        <v>5.6666666666666664E-2</v>
      </c>
      <c r="E489" s="51">
        <f t="shared" si="24"/>
        <v>0.16999999999999998</v>
      </c>
      <c r="F489" s="37"/>
      <c r="G489" s="37"/>
      <c r="H489" s="37"/>
      <c r="I489" s="37"/>
      <c r="J489" s="37"/>
      <c r="K489" s="37"/>
      <c r="L489" s="37"/>
      <c r="M489" s="37"/>
      <c r="N489" s="37"/>
      <c r="O489" s="43"/>
      <c r="P489" s="349"/>
      <c r="R489" s="38"/>
    </row>
    <row r="490" spans="1:18" ht="15.75" x14ac:dyDescent="0.25">
      <c r="A490" s="50"/>
      <c r="B490" s="14" t="s">
        <v>93</v>
      </c>
      <c r="C490" s="396">
        <v>0.5</v>
      </c>
      <c r="D490" s="51">
        <f>+'kardex reactivos 1'!G282</f>
        <v>4.2146666666666666E-2</v>
      </c>
      <c r="E490" s="51">
        <f t="shared" si="24"/>
        <v>2.1073333333333333E-2</v>
      </c>
      <c r="F490" s="37"/>
      <c r="G490" s="37"/>
      <c r="H490" s="37"/>
      <c r="I490" s="37"/>
      <c r="J490" s="37"/>
      <c r="K490" s="37"/>
      <c r="L490" s="37"/>
      <c r="M490" s="37"/>
      <c r="N490" s="37"/>
      <c r="O490" s="43"/>
      <c r="P490" s="349"/>
      <c r="R490" s="38"/>
    </row>
    <row r="491" spans="1:18" ht="15.75" x14ac:dyDescent="0.25">
      <c r="A491" s="489" t="s">
        <v>220</v>
      </c>
      <c r="B491" s="489"/>
      <c r="C491" s="489"/>
      <c r="D491" s="489"/>
      <c r="E491" s="52">
        <f>SUM(E484:E490)</f>
        <v>0.62111333333333318</v>
      </c>
      <c r="F491" s="37"/>
      <c r="G491" s="37"/>
      <c r="H491" s="489" t="s">
        <v>220</v>
      </c>
      <c r="I491" s="489"/>
      <c r="J491" s="53">
        <f>+J484</f>
        <v>1.4908397528255373</v>
      </c>
      <c r="K491" s="37"/>
      <c r="L491" s="37"/>
      <c r="M491" s="37"/>
      <c r="N491" s="37">
        <f>+N484</f>
        <v>1.1477269958151515</v>
      </c>
      <c r="O491" s="490"/>
      <c r="P491" s="491"/>
      <c r="Q491" s="367" t="s">
        <v>623</v>
      </c>
      <c r="R491" s="357"/>
    </row>
    <row r="494" spans="1:18" ht="15.75" x14ac:dyDescent="0.25">
      <c r="A494" s="506" t="s">
        <v>208</v>
      </c>
      <c r="B494" s="507"/>
      <c r="C494" s="507"/>
      <c r="D494" s="507"/>
      <c r="E494" s="507"/>
      <c r="F494" s="507"/>
      <c r="G494" s="507"/>
      <c r="H494" s="507"/>
      <c r="I494" s="507"/>
      <c r="J494" s="507"/>
      <c r="K494" s="507"/>
      <c r="L494" s="507"/>
      <c r="M494" s="507"/>
      <c r="N494" s="507"/>
      <c r="O494" s="507"/>
      <c r="P494" s="507"/>
      <c r="Q494" s="507"/>
      <c r="R494" s="508"/>
    </row>
    <row r="495" spans="1:18" ht="15.75" x14ac:dyDescent="0.25">
      <c r="A495" s="347" t="s">
        <v>209</v>
      </c>
      <c r="B495" s="348"/>
      <c r="C495" s="39"/>
      <c r="D495" s="55"/>
      <c r="E495" s="39"/>
      <c r="F495" s="39"/>
      <c r="G495" s="39"/>
      <c r="H495" s="494"/>
      <c r="I495" s="494"/>
      <c r="J495" s="494"/>
      <c r="K495" s="39"/>
      <c r="L495" s="39"/>
      <c r="M495" s="39"/>
      <c r="N495" s="39"/>
      <c r="O495" s="39"/>
      <c r="P495" s="39"/>
      <c r="Q495" s="39"/>
      <c r="R495" s="42"/>
    </row>
    <row r="496" spans="1:18" ht="15.75" x14ac:dyDescent="0.25">
      <c r="A496" s="347" t="s">
        <v>228</v>
      </c>
      <c r="B496" s="493" t="s">
        <v>591</v>
      </c>
      <c r="C496" s="493"/>
      <c r="D496" s="55"/>
      <c r="E496" s="39"/>
      <c r="F496" s="39"/>
      <c r="G496" s="39"/>
      <c r="H496" s="494"/>
      <c r="I496" s="494"/>
      <c r="J496" s="494"/>
      <c r="K496" s="39"/>
      <c r="L496" s="39"/>
      <c r="M496" s="39"/>
      <c r="N496" s="39"/>
      <c r="O496" s="39"/>
      <c r="P496" s="39"/>
      <c r="Q496" s="39"/>
      <c r="R496" s="42"/>
    </row>
    <row r="497" spans="1:18" ht="15.75" x14ac:dyDescent="0.25">
      <c r="A497" s="492" t="s">
        <v>210</v>
      </c>
      <c r="B497" s="493"/>
      <c r="C497" s="348"/>
      <c r="D497" s="56"/>
      <c r="E497" s="39"/>
      <c r="F497" s="39"/>
      <c r="G497" s="39"/>
      <c r="H497" s="494"/>
      <c r="I497" s="494"/>
      <c r="J497" s="494"/>
      <c r="K497" s="39"/>
      <c r="L497" s="39"/>
      <c r="M497" s="39"/>
      <c r="N497" s="39"/>
      <c r="O497" s="39"/>
      <c r="P497" s="39"/>
      <c r="Q497" s="39"/>
      <c r="R497" s="42"/>
    </row>
    <row r="498" spans="1:18" ht="15.75" x14ac:dyDescent="0.25">
      <c r="A498" s="495" t="s">
        <v>211</v>
      </c>
      <c r="B498" s="494"/>
      <c r="C498" s="494"/>
      <c r="D498" s="55"/>
      <c r="E498" s="39"/>
      <c r="F498" s="39"/>
      <c r="G498" s="39"/>
      <c r="H498" s="494"/>
      <c r="I498" s="494"/>
      <c r="J498" s="494"/>
      <c r="K498" s="39"/>
      <c r="L498" s="39"/>
      <c r="M498" s="39"/>
      <c r="N498" s="39"/>
      <c r="O498" s="39"/>
      <c r="P498" s="39"/>
      <c r="Q498" s="39"/>
      <c r="R498" s="42"/>
    </row>
    <row r="499" spans="1:18" ht="15.75" x14ac:dyDescent="0.25">
      <c r="A499" s="496" t="s">
        <v>212</v>
      </c>
      <c r="B499" s="496"/>
      <c r="C499" s="496"/>
      <c r="D499" s="496"/>
      <c r="E499" s="496"/>
      <c r="F499" s="496" t="s">
        <v>213</v>
      </c>
      <c r="G499" s="496"/>
      <c r="H499" s="496"/>
      <c r="I499" s="496"/>
      <c r="J499" s="496"/>
      <c r="K499" s="497" t="s">
        <v>221</v>
      </c>
      <c r="L499" s="497"/>
      <c r="M499" s="497"/>
      <c r="N499" s="497"/>
      <c r="O499" s="496" t="s">
        <v>222</v>
      </c>
      <c r="P499" s="496"/>
      <c r="Q499" s="496"/>
      <c r="R499" s="496"/>
    </row>
    <row r="500" spans="1:18" ht="31.5" x14ac:dyDescent="0.25">
      <c r="A500" s="351" t="s">
        <v>0</v>
      </c>
      <c r="B500" s="351" t="s">
        <v>1</v>
      </c>
      <c r="C500" s="351" t="s">
        <v>214</v>
      </c>
      <c r="D500" s="57" t="s">
        <v>215</v>
      </c>
      <c r="E500" s="49" t="s">
        <v>216</v>
      </c>
      <c r="F500" s="351" t="s">
        <v>0</v>
      </c>
      <c r="G500" s="49" t="s">
        <v>217</v>
      </c>
      <c r="H500" s="351" t="s">
        <v>218</v>
      </c>
      <c r="I500" s="49" t="s">
        <v>219</v>
      </c>
      <c r="J500" s="49" t="s">
        <v>216</v>
      </c>
      <c r="K500" s="351" t="s">
        <v>0</v>
      </c>
      <c r="L500" s="49" t="s">
        <v>321</v>
      </c>
      <c r="M500" s="49" t="s">
        <v>224</v>
      </c>
      <c r="N500" s="49" t="s">
        <v>216</v>
      </c>
      <c r="O500" s="496"/>
      <c r="P500" s="496"/>
      <c r="Q500" s="496"/>
      <c r="R500" s="496"/>
    </row>
    <row r="501" spans="1:18" ht="15.75" x14ac:dyDescent="0.25">
      <c r="A501" s="50"/>
      <c r="B501" s="14" t="s">
        <v>86</v>
      </c>
      <c r="C501" s="396">
        <v>0.5</v>
      </c>
      <c r="D501" s="51">
        <f>+'kardex reactivos 1'!G164</f>
        <v>4.1119999999999997E-2</v>
      </c>
      <c r="E501" s="51">
        <f>+C501*D501</f>
        <v>2.0559999999999998E-2</v>
      </c>
      <c r="F501" s="37"/>
      <c r="G501" s="37"/>
      <c r="H501" s="37">
        <f>+'Minutos MOD por exmen '!C31</f>
        <v>0.33333333333333331</v>
      </c>
      <c r="I501" s="100">
        <f>+'tasa MOD '!I37</f>
        <v>4.4725192584766118</v>
      </c>
      <c r="J501" s="37">
        <f>+I501*H501</f>
        <v>1.4908397528255373</v>
      </c>
      <c r="K501" s="37"/>
      <c r="L501" s="37">
        <f>+J508</f>
        <v>1.4908397528255373</v>
      </c>
      <c r="M501" s="109">
        <f>+'tasa cif'!G9</f>
        <v>0.76985269116945931</v>
      </c>
      <c r="N501" s="37">
        <f>+L501*M501</f>
        <v>1.1477269958151515</v>
      </c>
      <c r="O501" s="505" t="s">
        <v>225</v>
      </c>
      <c r="P501" s="505"/>
      <c r="Q501" s="35">
        <f>+E508</f>
        <v>0.62111333333333318</v>
      </c>
      <c r="R501" s="38"/>
    </row>
    <row r="502" spans="1:18" ht="15.75" x14ac:dyDescent="0.25">
      <c r="A502" s="50"/>
      <c r="B502" s="14" t="s">
        <v>87</v>
      </c>
      <c r="C502" s="396">
        <v>2</v>
      </c>
      <c r="D502" s="51">
        <f>+'kardex reactivos 1'!G179</f>
        <v>5.1740000000000001E-2</v>
      </c>
      <c r="E502" s="51">
        <f>+C502*D502</f>
        <v>0.10348</v>
      </c>
      <c r="F502" s="37"/>
      <c r="G502" s="37"/>
      <c r="H502" s="37"/>
      <c r="I502" s="37"/>
      <c r="J502" s="37"/>
      <c r="K502" s="37"/>
      <c r="L502" s="37"/>
      <c r="M502" s="37"/>
      <c r="N502" s="37"/>
      <c r="O502" s="505" t="s">
        <v>226</v>
      </c>
      <c r="P502" s="505"/>
      <c r="Q502">
        <f>+J508</f>
        <v>1.4908397528255373</v>
      </c>
      <c r="R502" s="38"/>
    </row>
    <row r="503" spans="1:18" ht="15.75" x14ac:dyDescent="0.25">
      <c r="A503" s="50"/>
      <c r="B503" s="14" t="s">
        <v>229</v>
      </c>
      <c r="C503" s="396">
        <v>1</v>
      </c>
      <c r="D503" s="51">
        <f>+'kardex reactivos 1'!G200</f>
        <v>6.8000000000000005E-2</v>
      </c>
      <c r="E503" s="51">
        <f>+C503*D503</f>
        <v>6.8000000000000005E-2</v>
      </c>
      <c r="F503" s="37"/>
      <c r="G503" s="37"/>
      <c r="H503" s="37"/>
      <c r="I503" s="37"/>
      <c r="J503" s="37"/>
      <c r="K503" s="37"/>
      <c r="L503" s="37"/>
      <c r="M503" s="37"/>
      <c r="N503" s="37"/>
      <c r="O503" s="43" t="s">
        <v>227</v>
      </c>
      <c r="P503" s="349"/>
      <c r="Q503">
        <f>+N508</f>
        <v>1.1477269958151515</v>
      </c>
      <c r="R503" s="38"/>
    </row>
    <row r="504" spans="1:18" ht="16.5" thickBot="1" x14ac:dyDescent="0.3">
      <c r="A504" s="50"/>
      <c r="B504" s="312" t="s">
        <v>230</v>
      </c>
      <c r="C504" s="396">
        <v>1</v>
      </c>
      <c r="D504" s="51">
        <f>+'kardex reactivos 1'!G222</f>
        <v>6.8000000000000005E-2</v>
      </c>
      <c r="E504" s="51">
        <f t="shared" ref="E504:E507" si="25">+C504*D504</f>
        <v>6.8000000000000005E-2</v>
      </c>
      <c r="F504" s="37"/>
      <c r="G504" s="37"/>
      <c r="H504" s="37"/>
      <c r="I504" s="37"/>
      <c r="J504" s="37"/>
      <c r="K504" s="37"/>
      <c r="L504" s="37"/>
      <c r="M504" s="37"/>
      <c r="N504" s="37"/>
      <c r="O504" s="43"/>
      <c r="P504" s="349"/>
      <c r="Q504" s="356">
        <f>SUM(Q501:Q503)</f>
        <v>3.2596800819740217</v>
      </c>
      <c r="R504" s="38"/>
    </row>
    <row r="505" spans="1:18" ht="16.5" thickTop="1" x14ac:dyDescent="0.25">
      <c r="A505" s="50"/>
      <c r="B505" s="14" t="s">
        <v>90</v>
      </c>
      <c r="C505" s="396">
        <v>3</v>
      </c>
      <c r="D505" s="51">
        <f>+'kardex reactivos 1'!G237</f>
        <v>5.6666666666666664E-2</v>
      </c>
      <c r="E505" s="51">
        <f t="shared" si="25"/>
        <v>0.16999999999999998</v>
      </c>
      <c r="F505" s="37"/>
      <c r="G505" s="37"/>
      <c r="H505" s="37"/>
      <c r="I505" s="37"/>
      <c r="J505" s="37"/>
      <c r="K505" s="37"/>
      <c r="L505" s="37"/>
      <c r="M505" s="37"/>
      <c r="N505" s="37"/>
      <c r="O505" s="43"/>
      <c r="P505" s="349"/>
      <c r="R505" s="38"/>
    </row>
    <row r="506" spans="1:18" ht="15.75" x14ac:dyDescent="0.25">
      <c r="A506" s="50"/>
      <c r="B506" s="312" t="s">
        <v>92</v>
      </c>
      <c r="C506" s="396">
        <v>3</v>
      </c>
      <c r="D506" s="51">
        <f>+'kardex reactivos 1'!G251</f>
        <v>5.6666666666666664E-2</v>
      </c>
      <c r="E506" s="51">
        <f t="shared" si="25"/>
        <v>0.16999999999999998</v>
      </c>
      <c r="F506" s="37"/>
      <c r="G506" s="37"/>
      <c r="H506" s="37"/>
      <c r="I506" s="37"/>
      <c r="J506" s="37"/>
      <c r="K506" s="37"/>
      <c r="L506" s="37"/>
      <c r="M506" s="37"/>
      <c r="N506" s="37"/>
      <c r="O506" s="43"/>
      <c r="P506" s="349"/>
      <c r="R506" s="38"/>
    </row>
    <row r="507" spans="1:18" ht="15.75" x14ac:dyDescent="0.25">
      <c r="A507" s="50"/>
      <c r="B507" s="14" t="s">
        <v>93</v>
      </c>
      <c r="C507" s="396">
        <v>0.5</v>
      </c>
      <c r="D507" s="51">
        <f>+'kardex reactivos 1'!G283</f>
        <v>4.2146666666666666E-2</v>
      </c>
      <c r="E507" s="51">
        <f t="shared" si="25"/>
        <v>2.1073333333333333E-2</v>
      </c>
      <c r="F507" s="37"/>
      <c r="G507" s="37"/>
      <c r="H507" s="37"/>
      <c r="I507" s="37"/>
      <c r="J507" s="37"/>
      <c r="K507" s="37"/>
      <c r="L507" s="37"/>
      <c r="M507" s="37"/>
      <c r="N507" s="37"/>
      <c r="O507" s="43"/>
      <c r="P507" s="349"/>
      <c r="Q507" s="39"/>
      <c r="R507" s="38"/>
    </row>
    <row r="508" spans="1:18" ht="15.75" x14ac:dyDescent="0.25">
      <c r="A508" s="489" t="s">
        <v>220</v>
      </c>
      <c r="B508" s="489"/>
      <c r="C508" s="489"/>
      <c r="D508" s="489"/>
      <c r="E508" s="52">
        <f>SUM(E501:E507)</f>
        <v>0.62111333333333318</v>
      </c>
      <c r="F508" s="37"/>
      <c r="G508" s="37"/>
      <c r="H508" s="489" t="s">
        <v>220</v>
      </c>
      <c r="I508" s="489"/>
      <c r="J508" s="53">
        <f>+J501</f>
        <v>1.4908397528255373</v>
      </c>
      <c r="K508" s="37"/>
      <c r="L508" s="37"/>
      <c r="M508" s="37"/>
      <c r="N508" s="37">
        <f>+N501</f>
        <v>1.1477269958151515</v>
      </c>
      <c r="O508" s="490"/>
      <c r="P508" s="491"/>
      <c r="Q508" s="367"/>
      <c r="R508" s="357"/>
    </row>
    <row r="509" spans="1:18" x14ac:dyDescent="0.25">
      <c r="P509" s="39"/>
    </row>
    <row r="511" spans="1:18" ht="15.75" x14ac:dyDescent="0.25">
      <c r="A511" s="506" t="s">
        <v>208</v>
      </c>
      <c r="B511" s="507"/>
      <c r="C511" s="507"/>
      <c r="D511" s="507"/>
      <c r="E511" s="507"/>
      <c r="F511" s="507"/>
      <c r="G511" s="507"/>
      <c r="H511" s="507"/>
      <c r="I511" s="507"/>
      <c r="J511" s="507"/>
      <c r="K511" s="507"/>
      <c r="L511" s="507"/>
      <c r="M511" s="507"/>
      <c r="N511" s="507"/>
      <c r="O511" s="507"/>
      <c r="P511" s="507"/>
      <c r="Q511" s="507"/>
      <c r="R511" s="508"/>
    </row>
    <row r="512" spans="1:18" ht="15.75" x14ac:dyDescent="0.25">
      <c r="A512" s="347" t="s">
        <v>209</v>
      </c>
      <c r="B512" s="348"/>
      <c r="C512" s="39"/>
      <c r="D512" s="55"/>
      <c r="E512" s="39"/>
      <c r="F512" s="39"/>
      <c r="G512" s="39"/>
      <c r="H512" s="494"/>
      <c r="I512" s="494"/>
      <c r="J512" s="494"/>
      <c r="K512" s="39"/>
      <c r="L512" s="39"/>
      <c r="M512" s="39"/>
      <c r="N512" s="39"/>
      <c r="O512" s="39"/>
      <c r="P512" s="39"/>
      <c r="Q512" s="39"/>
      <c r="R512" s="42"/>
    </row>
    <row r="513" spans="1:18" ht="15.75" x14ac:dyDescent="0.25">
      <c r="A513" s="347" t="s">
        <v>228</v>
      </c>
      <c r="B513" s="493" t="s">
        <v>594</v>
      </c>
      <c r="C513" s="493"/>
      <c r="D513" s="55"/>
      <c r="E513" s="39"/>
      <c r="F513" s="39"/>
      <c r="G513" s="39"/>
      <c r="H513" s="494"/>
      <c r="I513" s="494"/>
      <c r="J513" s="494"/>
      <c r="K513" s="39"/>
      <c r="L513" s="39"/>
      <c r="M513" s="39"/>
      <c r="N513" s="39"/>
      <c r="O513" s="39"/>
      <c r="P513" s="39"/>
      <c r="Q513" s="39"/>
      <c r="R513" s="42"/>
    </row>
    <row r="514" spans="1:18" ht="15.75" x14ac:dyDescent="0.25">
      <c r="A514" s="492" t="s">
        <v>210</v>
      </c>
      <c r="B514" s="493"/>
      <c r="C514" s="348"/>
      <c r="D514" s="56"/>
      <c r="E514" s="39"/>
      <c r="F514" s="39"/>
      <c r="G514" s="39"/>
      <c r="H514" s="494"/>
      <c r="I514" s="494"/>
      <c r="J514" s="494"/>
      <c r="K514" s="39"/>
      <c r="L514" s="39"/>
      <c r="M514" s="39"/>
      <c r="N514" s="39"/>
      <c r="O514" s="39"/>
      <c r="P514" s="39"/>
      <c r="Q514" s="39"/>
      <c r="R514" s="42"/>
    </row>
    <row r="515" spans="1:18" ht="15.75" x14ac:dyDescent="0.25">
      <c r="A515" s="495" t="s">
        <v>211</v>
      </c>
      <c r="B515" s="494"/>
      <c r="C515" s="494"/>
      <c r="D515" s="55"/>
      <c r="E515" s="39"/>
      <c r="F515" s="39"/>
      <c r="G515" s="39"/>
      <c r="H515" s="494"/>
      <c r="I515" s="494"/>
      <c r="J515" s="494"/>
      <c r="K515" s="39"/>
      <c r="L515" s="39"/>
      <c r="M515" s="39"/>
      <c r="N515" s="39"/>
      <c r="O515" s="39"/>
      <c r="P515" s="39"/>
      <c r="Q515" s="39"/>
      <c r="R515" s="42"/>
    </row>
    <row r="516" spans="1:18" ht="15.75" x14ac:dyDescent="0.25">
      <c r="A516" s="496" t="s">
        <v>212</v>
      </c>
      <c r="B516" s="496"/>
      <c r="C516" s="496"/>
      <c r="D516" s="496"/>
      <c r="E516" s="496"/>
      <c r="F516" s="496" t="s">
        <v>213</v>
      </c>
      <c r="G516" s="496"/>
      <c r="H516" s="496"/>
      <c r="I516" s="496"/>
      <c r="J516" s="496"/>
      <c r="K516" s="497" t="s">
        <v>221</v>
      </c>
      <c r="L516" s="497"/>
      <c r="M516" s="497"/>
      <c r="N516" s="497"/>
      <c r="O516" s="496" t="s">
        <v>222</v>
      </c>
      <c r="P516" s="496"/>
      <c r="Q516" s="496"/>
      <c r="R516" s="496"/>
    </row>
    <row r="517" spans="1:18" ht="31.5" x14ac:dyDescent="0.25">
      <c r="A517" s="351" t="s">
        <v>0</v>
      </c>
      <c r="B517" s="351" t="s">
        <v>1</v>
      </c>
      <c r="C517" s="351" t="s">
        <v>214</v>
      </c>
      <c r="D517" s="57" t="s">
        <v>215</v>
      </c>
      <c r="E517" s="49" t="s">
        <v>216</v>
      </c>
      <c r="F517" s="351" t="s">
        <v>0</v>
      </c>
      <c r="G517" s="49" t="s">
        <v>217</v>
      </c>
      <c r="H517" s="351" t="s">
        <v>218</v>
      </c>
      <c r="I517" s="49" t="s">
        <v>219</v>
      </c>
      <c r="J517" s="49" t="s">
        <v>216</v>
      </c>
      <c r="K517" s="351" t="s">
        <v>0</v>
      </c>
      <c r="L517" s="49" t="s">
        <v>321</v>
      </c>
      <c r="M517" s="49" t="s">
        <v>224</v>
      </c>
      <c r="N517" s="49" t="s">
        <v>216</v>
      </c>
      <c r="O517" s="496"/>
      <c r="P517" s="496"/>
      <c r="Q517" s="496"/>
      <c r="R517" s="496"/>
    </row>
    <row r="518" spans="1:18" ht="15.75" x14ac:dyDescent="0.25">
      <c r="A518" s="50"/>
      <c r="B518" s="14" t="s">
        <v>168</v>
      </c>
      <c r="C518" s="396">
        <v>2</v>
      </c>
      <c r="D518" s="51">
        <f>+'kardex reactivos 3'!G118</f>
        <v>0.16239999999999999</v>
      </c>
      <c r="E518" s="51">
        <f>+C518*D518</f>
        <v>0.32479999999999998</v>
      </c>
      <c r="F518" s="37"/>
      <c r="G518" s="37"/>
      <c r="H518" s="37">
        <f>+'Minutos MOD por exmen '!C32</f>
        <v>0.21666666666666667</v>
      </c>
      <c r="I518" s="100">
        <f>+'tasa MOD '!I37</f>
        <v>4.4725192584766118</v>
      </c>
      <c r="J518" s="37">
        <f>+I518*H518</f>
        <v>0.96904583933659927</v>
      </c>
      <c r="K518" s="37"/>
      <c r="L518" s="37">
        <f>+J522</f>
        <v>0.96904583933659927</v>
      </c>
      <c r="M518" s="109">
        <f>+'tasa cif'!G9</f>
        <v>0.76985269116945931</v>
      </c>
      <c r="N518" s="37">
        <f>+L518*M518</f>
        <v>0.7460225472798484</v>
      </c>
      <c r="O518" s="505" t="s">
        <v>225</v>
      </c>
      <c r="P518" s="505"/>
      <c r="Q518" s="35">
        <f>+E522</f>
        <v>1.1177999999999999</v>
      </c>
      <c r="R518" s="38"/>
    </row>
    <row r="519" spans="1:18" ht="15.75" x14ac:dyDescent="0.25">
      <c r="A519" s="50"/>
      <c r="B519" s="312" t="s">
        <v>169</v>
      </c>
      <c r="C519" s="396">
        <v>2.5</v>
      </c>
      <c r="D519" s="51">
        <f>+'kardex reactivos 3'!G131</f>
        <v>0.16239999999999999</v>
      </c>
      <c r="E519" s="51">
        <f>+C519*D519</f>
        <v>0.40599999999999997</v>
      </c>
      <c r="F519" s="37"/>
      <c r="G519" s="37"/>
      <c r="H519" s="37"/>
      <c r="I519" s="37"/>
      <c r="J519" s="37"/>
      <c r="K519" s="37"/>
      <c r="L519" s="37"/>
      <c r="M519" s="37"/>
      <c r="N519" s="37"/>
      <c r="O519" s="505" t="s">
        <v>226</v>
      </c>
      <c r="P519" s="505"/>
      <c r="Q519">
        <f>+J522</f>
        <v>0.96904583933659927</v>
      </c>
      <c r="R519" s="38"/>
    </row>
    <row r="520" spans="1:18" ht="15.75" x14ac:dyDescent="0.25">
      <c r="A520" s="50"/>
      <c r="B520" s="312" t="s">
        <v>170</v>
      </c>
      <c r="C520" s="396">
        <v>1.5</v>
      </c>
      <c r="D520" s="51">
        <f>+'kardex reactivos 3'!G144</f>
        <v>0.25800000000000001</v>
      </c>
      <c r="E520" s="51">
        <f>+C520*D520</f>
        <v>0.38700000000000001</v>
      </c>
      <c r="F520" s="37"/>
      <c r="G520" s="37"/>
      <c r="H520" s="37"/>
      <c r="I520" s="37"/>
      <c r="J520" s="37"/>
      <c r="K520" s="37"/>
      <c r="L520" s="37"/>
      <c r="M520" s="37"/>
      <c r="N520" s="37"/>
      <c r="O520" s="43" t="s">
        <v>227</v>
      </c>
      <c r="P520" s="349"/>
      <c r="Q520">
        <f>+N522</f>
        <v>0.7460225472798484</v>
      </c>
      <c r="R520" s="38"/>
    </row>
    <row r="521" spans="1:18" ht="16.5" thickBot="1" x14ac:dyDescent="0.3">
      <c r="A521" s="50"/>
      <c r="B521" s="312"/>
      <c r="C521" s="346"/>
      <c r="D521" s="51"/>
      <c r="E521" s="51">
        <f t="shared" ref="E521" si="26">+C521*D521</f>
        <v>0</v>
      </c>
      <c r="F521" s="37"/>
      <c r="G521" s="37"/>
      <c r="H521" s="37"/>
      <c r="I521" s="37"/>
      <c r="J521" s="37"/>
      <c r="K521" s="37"/>
      <c r="L521" s="37"/>
      <c r="M521" s="37"/>
      <c r="N521" s="37"/>
      <c r="O521" s="43"/>
      <c r="P521" s="349"/>
      <c r="Q521" s="356">
        <f>SUM(Q518:Q520)</f>
        <v>2.8328683866164477</v>
      </c>
      <c r="R521" s="38"/>
    </row>
    <row r="522" spans="1:18" ht="16.5" thickTop="1" x14ac:dyDescent="0.25">
      <c r="A522" s="489" t="s">
        <v>220</v>
      </c>
      <c r="B522" s="489"/>
      <c r="C522" s="489"/>
      <c r="D522" s="489"/>
      <c r="E522" s="52">
        <f>SUM(E518:E521)</f>
        <v>1.1177999999999999</v>
      </c>
      <c r="F522" s="37"/>
      <c r="G522" s="37"/>
      <c r="H522" s="489" t="s">
        <v>220</v>
      </c>
      <c r="I522" s="489"/>
      <c r="J522" s="53">
        <f>+J518</f>
        <v>0.96904583933659927</v>
      </c>
      <c r="K522" s="37"/>
      <c r="L522" s="37"/>
      <c r="M522" s="37"/>
      <c r="N522" s="37">
        <f>+N518</f>
        <v>0.7460225472798484</v>
      </c>
      <c r="O522" s="490"/>
      <c r="P522" s="491"/>
      <c r="Q522" s="367"/>
      <c r="R522" s="357"/>
    </row>
    <row r="528" spans="1:18" ht="15.75" x14ac:dyDescent="0.25">
      <c r="A528" s="506" t="s">
        <v>208</v>
      </c>
      <c r="B528" s="507"/>
      <c r="C528" s="507"/>
      <c r="D528" s="507"/>
      <c r="E528" s="507"/>
      <c r="F528" s="507"/>
      <c r="G528" s="507"/>
      <c r="H528" s="507"/>
      <c r="I528" s="507"/>
      <c r="J528" s="507"/>
      <c r="K528" s="507"/>
      <c r="L528" s="507"/>
      <c r="M528" s="507"/>
      <c r="N528" s="507"/>
      <c r="O528" s="507"/>
      <c r="P528" s="507"/>
      <c r="Q528" s="507"/>
      <c r="R528" s="508"/>
    </row>
    <row r="529" spans="1:18" ht="15.75" x14ac:dyDescent="0.25">
      <c r="A529" s="347" t="s">
        <v>209</v>
      </c>
      <c r="B529" s="348"/>
      <c r="C529" s="39"/>
      <c r="D529" s="55"/>
      <c r="E529" s="39"/>
      <c r="F529" s="39"/>
      <c r="G529" s="39"/>
      <c r="H529" s="494"/>
      <c r="I529" s="494"/>
      <c r="J529" s="494"/>
      <c r="K529" s="39"/>
      <c r="L529" s="39"/>
      <c r="M529" s="39"/>
      <c r="N529" s="39"/>
      <c r="O529" s="39"/>
      <c r="P529" s="39"/>
      <c r="Q529" s="39"/>
      <c r="R529" s="42"/>
    </row>
    <row r="530" spans="1:18" ht="15.75" x14ac:dyDescent="0.25">
      <c r="A530" s="347" t="s">
        <v>228</v>
      </c>
      <c r="B530" s="493" t="s">
        <v>602</v>
      </c>
      <c r="C530" s="493"/>
      <c r="D530" s="55"/>
      <c r="E530" s="39"/>
      <c r="F530" s="39"/>
      <c r="G530" s="39"/>
      <c r="H530" s="494"/>
      <c r="I530" s="494"/>
      <c r="J530" s="494"/>
      <c r="K530" s="39"/>
      <c r="L530" s="39"/>
      <c r="M530" s="39"/>
      <c r="N530" s="39"/>
      <c r="O530" s="39"/>
      <c r="P530" s="39"/>
      <c r="Q530" s="39"/>
      <c r="R530" s="42"/>
    </row>
    <row r="531" spans="1:18" ht="15.75" x14ac:dyDescent="0.25">
      <c r="A531" s="492" t="s">
        <v>210</v>
      </c>
      <c r="B531" s="493"/>
      <c r="C531" s="348"/>
      <c r="D531" s="56"/>
      <c r="E531" s="39"/>
      <c r="F531" s="39"/>
      <c r="G531" s="39"/>
      <c r="H531" s="494"/>
      <c r="I531" s="494"/>
      <c r="J531" s="494"/>
      <c r="K531" s="39"/>
      <c r="L531" s="39"/>
      <c r="M531" s="39"/>
      <c r="N531" s="39"/>
      <c r="O531" s="39"/>
      <c r="P531" s="39"/>
      <c r="Q531" s="39"/>
      <c r="R531" s="42"/>
    </row>
    <row r="532" spans="1:18" ht="15.75" x14ac:dyDescent="0.25">
      <c r="A532" s="495" t="s">
        <v>211</v>
      </c>
      <c r="B532" s="494"/>
      <c r="C532" s="494"/>
      <c r="D532" s="55"/>
      <c r="E532" s="39"/>
      <c r="F532" s="39"/>
      <c r="G532" s="39"/>
      <c r="H532" s="494"/>
      <c r="I532" s="494"/>
      <c r="J532" s="494"/>
      <c r="K532" s="39"/>
      <c r="L532" s="39"/>
      <c r="M532" s="39"/>
      <c r="N532" s="39"/>
      <c r="O532" s="39"/>
      <c r="P532" s="39"/>
      <c r="Q532" s="39"/>
      <c r="R532" s="42"/>
    </row>
    <row r="533" spans="1:18" ht="15.75" x14ac:dyDescent="0.25">
      <c r="A533" s="496" t="s">
        <v>212</v>
      </c>
      <c r="B533" s="496"/>
      <c r="C533" s="496"/>
      <c r="D533" s="496"/>
      <c r="E533" s="496"/>
      <c r="F533" s="496" t="s">
        <v>213</v>
      </c>
      <c r="G533" s="496"/>
      <c r="H533" s="496"/>
      <c r="I533" s="496"/>
      <c r="J533" s="496"/>
      <c r="K533" s="497" t="s">
        <v>221</v>
      </c>
      <c r="L533" s="497"/>
      <c r="M533" s="497"/>
      <c r="N533" s="497"/>
      <c r="O533" s="509" t="s">
        <v>222</v>
      </c>
      <c r="P533" s="509"/>
      <c r="Q533" s="509"/>
      <c r="R533" s="577"/>
    </row>
    <row r="534" spans="1:18" ht="32.25" thickBot="1" x14ac:dyDescent="0.3">
      <c r="A534" s="351" t="s">
        <v>0</v>
      </c>
      <c r="B534" s="351" t="s">
        <v>1</v>
      </c>
      <c r="C534" s="351" t="s">
        <v>214</v>
      </c>
      <c r="D534" s="57" t="s">
        <v>215</v>
      </c>
      <c r="E534" s="49" t="s">
        <v>216</v>
      </c>
      <c r="F534" s="351" t="s">
        <v>0</v>
      </c>
      <c r="G534" s="49" t="s">
        <v>217</v>
      </c>
      <c r="H534" s="351" t="s">
        <v>218</v>
      </c>
      <c r="I534" s="49" t="s">
        <v>219</v>
      </c>
      <c r="J534" s="49" t="s">
        <v>216</v>
      </c>
      <c r="K534" s="351" t="s">
        <v>0</v>
      </c>
      <c r="L534" s="49" t="s">
        <v>321</v>
      </c>
      <c r="M534" s="49" t="s">
        <v>224</v>
      </c>
      <c r="N534" s="49" t="s">
        <v>216</v>
      </c>
      <c r="O534" s="578"/>
      <c r="P534" s="578"/>
      <c r="Q534" s="578"/>
      <c r="R534" s="579"/>
    </row>
    <row r="535" spans="1:18" ht="15.75" x14ac:dyDescent="0.25">
      <c r="A535" s="50"/>
      <c r="B535" s="14" t="s">
        <v>86</v>
      </c>
      <c r="C535" s="396">
        <v>0.5</v>
      </c>
      <c r="D535" s="51">
        <f>+'kardex reactivos 1'!G165</f>
        <v>4.1119999999999997E-2</v>
      </c>
      <c r="E535" s="51">
        <f>+C535*D535</f>
        <v>2.0559999999999998E-2</v>
      </c>
      <c r="F535" s="37"/>
      <c r="G535" s="37"/>
      <c r="H535" s="37">
        <f>+'Minutos MOD por exmen '!C33</f>
        <v>0.48333333333333334</v>
      </c>
      <c r="I535" s="100">
        <f>+'tasa MOD '!I37</f>
        <v>4.4725192584766118</v>
      </c>
      <c r="J535" s="37">
        <f>+I535*H535</f>
        <v>2.1617176415970292</v>
      </c>
      <c r="K535" s="37"/>
      <c r="L535" s="37">
        <f>+J542</f>
        <v>2.1617176415970292</v>
      </c>
      <c r="M535" s="109">
        <f>+'tasa cif'!G9</f>
        <v>0.76985269116945931</v>
      </c>
      <c r="N535" s="37">
        <f>+L535*M535</f>
        <v>1.6642041439319697</v>
      </c>
      <c r="O535" s="580" t="s">
        <v>225</v>
      </c>
      <c r="P535" s="580"/>
      <c r="Q535" s="35">
        <f>+E542</f>
        <v>0.97883333333333344</v>
      </c>
      <c r="R535" s="38"/>
    </row>
    <row r="536" spans="1:18" ht="15.75" x14ac:dyDescent="0.25">
      <c r="A536" s="50"/>
      <c r="B536" s="312" t="s">
        <v>596</v>
      </c>
      <c r="C536" s="396">
        <v>1</v>
      </c>
      <c r="D536" s="51">
        <f>+'kardex reactivos 1'!G201</f>
        <v>6.8000000000000005E-2</v>
      </c>
      <c r="E536" s="51">
        <f>+C536*D536</f>
        <v>6.8000000000000005E-2</v>
      </c>
      <c r="F536" s="37"/>
      <c r="G536" s="37"/>
      <c r="H536" s="37"/>
      <c r="I536" s="37"/>
      <c r="J536" s="37"/>
      <c r="K536" s="37"/>
      <c r="L536" s="37"/>
      <c r="M536" s="37"/>
      <c r="N536" s="37"/>
      <c r="O536" s="505" t="s">
        <v>226</v>
      </c>
      <c r="P536" s="505"/>
      <c r="Q536">
        <f>+J542</f>
        <v>2.1617176415970292</v>
      </c>
      <c r="R536" s="38"/>
    </row>
    <row r="537" spans="1:18" ht="15.75" x14ac:dyDescent="0.25">
      <c r="A537" s="50"/>
      <c r="B537" s="312" t="s">
        <v>597</v>
      </c>
      <c r="C537" s="396">
        <v>1</v>
      </c>
      <c r="D537" s="51">
        <f>+'kardex reactivos 1'!G223</f>
        <v>6.8000000000000005E-2</v>
      </c>
      <c r="E537" s="51">
        <f>+C537*D537</f>
        <v>6.8000000000000005E-2</v>
      </c>
      <c r="F537" s="37"/>
      <c r="G537" s="37"/>
      <c r="H537" s="37"/>
      <c r="I537" s="37"/>
      <c r="J537" s="37"/>
      <c r="K537" s="37"/>
      <c r="L537" s="37"/>
      <c r="M537" s="37"/>
      <c r="N537" s="37"/>
      <c r="O537" s="43" t="s">
        <v>227</v>
      </c>
      <c r="P537" s="349"/>
      <c r="Q537">
        <f>+N542</f>
        <v>1.6642041439319697</v>
      </c>
      <c r="R537" s="38"/>
    </row>
    <row r="538" spans="1:18" ht="16.5" thickBot="1" x14ac:dyDescent="0.3">
      <c r="A538" s="50"/>
      <c r="B538" s="14" t="s">
        <v>598</v>
      </c>
      <c r="C538" s="396">
        <v>3</v>
      </c>
      <c r="D538" s="51">
        <f>+'kardex reactivos 2'!G522</f>
        <v>5.2600000000000001E-2</v>
      </c>
      <c r="E538" s="51">
        <f t="shared" ref="E538:E541" si="27">+C538*D538</f>
        <v>0.1578</v>
      </c>
      <c r="F538" s="37"/>
      <c r="G538" s="37"/>
      <c r="H538" s="37"/>
      <c r="I538" s="37"/>
      <c r="J538" s="37"/>
      <c r="K538" s="37"/>
      <c r="L538" s="37"/>
      <c r="M538" s="37"/>
      <c r="N538" s="37"/>
      <c r="O538" s="43"/>
      <c r="P538" s="349"/>
      <c r="Q538" s="356">
        <f>SUM(Q535:Q537)</f>
        <v>4.8047551188623316</v>
      </c>
      <c r="R538" s="38"/>
    </row>
    <row r="539" spans="1:18" ht="16.5" thickTop="1" x14ac:dyDescent="0.25">
      <c r="A539" s="50"/>
      <c r="B539" s="312" t="s">
        <v>599</v>
      </c>
      <c r="C539" s="396">
        <v>3</v>
      </c>
      <c r="D539" s="51">
        <f>+'kardex reactivos 3'!G10</f>
        <v>0.1578</v>
      </c>
      <c r="E539" s="51">
        <f t="shared" si="27"/>
        <v>0.47339999999999999</v>
      </c>
      <c r="F539" s="37"/>
      <c r="G539" s="37"/>
      <c r="H539" s="37"/>
      <c r="I539" s="37"/>
      <c r="J539" s="37"/>
      <c r="K539" s="37"/>
      <c r="L539" s="37"/>
      <c r="M539" s="37"/>
      <c r="N539" s="37"/>
      <c r="O539" s="43"/>
      <c r="P539" s="349"/>
      <c r="R539" s="38"/>
    </row>
    <row r="540" spans="1:18" ht="15.75" x14ac:dyDescent="0.25">
      <c r="A540" s="50"/>
      <c r="B540" s="14" t="s">
        <v>600</v>
      </c>
      <c r="C540" s="396">
        <v>2.5</v>
      </c>
      <c r="D540" s="51">
        <f>+'kardex reactivos 2'!G509</f>
        <v>6.8000000000000005E-2</v>
      </c>
      <c r="E540" s="51">
        <f t="shared" si="27"/>
        <v>0.17</v>
      </c>
      <c r="F540" s="37"/>
      <c r="G540" s="37"/>
      <c r="H540" s="37"/>
      <c r="I540" s="37"/>
      <c r="J540" s="37"/>
      <c r="K540" s="37"/>
      <c r="L540" s="37"/>
      <c r="M540" s="37"/>
      <c r="N540" s="37"/>
      <c r="O540" s="43"/>
      <c r="P540" s="349"/>
      <c r="R540" s="38"/>
    </row>
    <row r="541" spans="1:18" ht="15.75" x14ac:dyDescent="0.25">
      <c r="A541" s="50"/>
      <c r="B541" s="14" t="s">
        <v>601</v>
      </c>
      <c r="C541" s="396">
        <v>0.5</v>
      </c>
      <c r="D541" s="51">
        <f>+'kardex reactivos 1'!G284</f>
        <v>4.2146666666666666E-2</v>
      </c>
      <c r="E541" s="51">
        <f t="shared" si="27"/>
        <v>2.1073333333333333E-2</v>
      </c>
      <c r="F541" s="37"/>
      <c r="G541" s="37"/>
      <c r="H541" s="37"/>
      <c r="I541" s="37"/>
      <c r="J541" s="37"/>
      <c r="K541" s="37"/>
      <c r="L541" s="37"/>
      <c r="M541" s="37"/>
      <c r="N541" s="37"/>
      <c r="O541" s="43"/>
      <c r="P541" s="349"/>
      <c r="R541" s="38"/>
    </row>
    <row r="542" spans="1:18" ht="15.75" x14ac:dyDescent="0.25">
      <c r="A542" s="489" t="s">
        <v>220</v>
      </c>
      <c r="B542" s="489"/>
      <c r="C542" s="489"/>
      <c r="D542" s="489"/>
      <c r="E542" s="52">
        <f>SUM(E535:E541)</f>
        <v>0.97883333333333344</v>
      </c>
      <c r="F542" s="37"/>
      <c r="G542" s="37"/>
      <c r="H542" s="489" t="s">
        <v>220</v>
      </c>
      <c r="I542" s="489"/>
      <c r="J542" s="53">
        <f>+J535</f>
        <v>2.1617176415970292</v>
      </c>
      <c r="K542" s="37"/>
      <c r="L542" s="37"/>
      <c r="M542" s="37"/>
      <c r="N542" s="37">
        <f>+N535</f>
        <v>1.6642041439319697</v>
      </c>
      <c r="O542" s="490"/>
      <c r="P542" s="491"/>
      <c r="Q542" s="367"/>
      <c r="R542" s="357"/>
    </row>
    <row r="545" spans="1:18" ht="15.75" x14ac:dyDescent="0.25">
      <c r="A545" s="506" t="s">
        <v>208</v>
      </c>
      <c r="B545" s="507"/>
      <c r="C545" s="507"/>
      <c r="D545" s="507"/>
      <c r="E545" s="507"/>
      <c r="F545" s="507"/>
      <c r="G545" s="507"/>
      <c r="H545" s="507"/>
      <c r="I545" s="507"/>
      <c r="J545" s="507"/>
      <c r="K545" s="507"/>
      <c r="L545" s="507"/>
      <c r="M545" s="507"/>
      <c r="N545" s="507"/>
      <c r="O545" s="507"/>
      <c r="P545" s="507"/>
      <c r="Q545" s="507"/>
      <c r="R545" s="508"/>
    </row>
    <row r="546" spans="1:18" ht="15.75" x14ac:dyDescent="0.25">
      <c r="A546" s="347" t="s">
        <v>209</v>
      </c>
      <c r="B546" s="348"/>
      <c r="C546" s="39"/>
      <c r="D546" s="55"/>
      <c r="E546" s="39"/>
      <c r="F546" s="39"/>
      <c r="G546" s="39"/>
      <c r="H546" s="494"/>
      <c r="I546" s="494"/>
      <c r="J546" s="494"/>
      <c r="K546" s="39"/>
      <c r="L546" s="39"/>
      <c r="M546" s="39"/>
      <c r="N546" s="39"/>
      <c r="O546" s="39"/>
      <c r="P546" s="39"/>
      <c r="Q546" s="39"/>
      <c r="R546" s="42"/>
    </row>
    <row r="547" spans="1:18" ht="15.75" x14ac:dyDescent="0.25">
      <c r="A547" s="347" t="s">
        <v>228</v>
      </c>
      <c r="B547" s="493" t="s">
        <v>604</v>
      </c>
      <c r="C547" s="493"/>
      <c r="D547" s="55"/>
      <c r="E547" s="39"/>
      <c r="F547" s="39"/>
      <c r="G547" s="39"/>
      <c r="H547" s="494"/>
      <c r="I547" s="494"/>
      <c r="J547" s="494"/>
      <c r="K547" s="39"/>
      <c r="L547" s="39"/>
      <c r="M547" s="39"/>
      <c r="N547" s="39"/>
      <c r="O547" s="39"/>
      <c r="P547" s="39"/>
      <c r="Q547" s="39"/>
      <c r="R547" s="42"/>
    </row>
    <row r="548" spans="1:18" ht="15.75" x14ac:dyDescent="0.25">
      <c r="A548" s="492" t="s">
        <v>210</v>
      </c>
      <c r="B548" s="493"/>
      <c r="C548" s="348"/>
      <c r="D548" s="56"/>
      <c r="E548" s="39"/>
      <c r="F548" s="39"/>
      <c r="G548" s="39"/>
      <c r="H548" s="494"/>
      <c r="I548" s="494"/>
      <c r="J548" s="494"/>
      <c r="K548" s="39"/>
      <c r="L548" s="39"/>
      <c r="M548" s="39"/>
      <c r="N548" s="39"/>
      <c r="O548" s="39"/>
      <c r="P548" s="39"/>
      <c r="Q548" s="39"/>
      <c r="R548" s="42"/>
    </row>
    <row r="549" spans="1:18" ht="15.75" x14ac:dyDescent="0.25">
      <c r="A549" s="495" t="s">
        <v>211</v>
      </c>
      <c r="B549" s="494"/>
      <c r="C549" s="494"/>
      <c r="D549" s="55"/>
      <c r="E549" s="39"/>
      <c r="F549" s="39"/>
      <c r="G549" s="39"/>
      <c r="H549" s="494"/>
      <c r="I549" s="494"/>
      <c r="J549" s="494"/>
      <c r="K549" s="39"/>
      <c r="L549" s="39"/>
      <c r="M549" s="39"/>
      <c r="N549" s="39"/>
      <c r="O549" s="39"/>
      <c r="P549" s="39"/>
      <c r="Q549" s="39"/>
      <c r="R549" s="42"/>
    </row>
    <row r="550" spans="1:18" ht="15.75" x14ac:dyDescent="0.25">
      <c r="A550" s="496" t="s">
        <v>212</v>
      </c>
      <c r="B550" s="496"/>
      <c r="C550" s="496"/>
      <c r="D550" s="496"/>
      <c r="E550" s="496"/>
      <c r="F550" s="496" t="s">
        <v>213</v>
      </c>
      <c r="G550" s="496"/>
      <c r="H550" s="496"/>
      <c r="I550" s="496"/>
      <c r="J550" s="496"/>
      <c r="K550" s="497" t="s">
        <v>221</v>
      </c>
      <c r="L550" s="497"/>
      <c r="M550" s="497"/>
      <c r="N550" s="497"/>
      <c r="O550" s="509" t="s">
        <v>222</v>
      </c>
      <c r="P550" s="509"/>
      <c r="Q550" s="509"/>
      <c r="R550" s="577"/>
    </row>
    <row r="551" spans="1:18" ht="32.25" thickBot="1" x14ac:dyDescent="0.3">
      <c r="A551" s="351" t="s">
        <v>0</v>
      </c>
      <c r="B551" s="351" t="s">
        <v>1</v>
      </c>
      <c r="C551" s="351" t="s">
        <v>214</v>
      </c>
      <c r="D551" s="57" t="s">
        <v>215</v>
      </c>
      <c r="E551" s="49" t="s">
        <v>216</v>
      </c>
      <c r="F551" s="351" t="s">
        <v>0</v>
      </c>
      <c r="G551" s="49" t="s">
        <v>217</v>
      </c>
      <c r="H551" s="351" t="s">
        <v>218</v>
      </c>
      <c r="I551" s="49" t="s">
        <v>219</v>
      </c>
      <c r="J551" s="49" t="s">
        <v>216</v>
      </c>
      <c r="K551" s="351" t="s">
        <v>0</v>
      </c>
      <c r="L551" s="49" t="s">
        <v>321</v>
      </c>
      <c r="M551" s="49" t="s">
        <v>224</v>
      </c>
      <c r="N551" s="49" t="s">
        <v>216</v>
      </c>
      <c r="O551" s="578"/>
      <c r="P551" s="578"/>
      <c r="Q551" s="578"/>
      <c r="R551" s="579"/>
    </row>
    <row r="552" spans="1:18" ht="15.75" x14ac:dyDescent="0.25">
      <c r="A552" s="50"/>
      <c r="B552" s="312" t="s">
        <v>605</v>
      </c>
      <c r="C552" s="396">
        <v>3</v>
      </c>
      <c r="D552" s="51">
        <f>+'kardex reactivos 3'!G334</f>
        <v>3.4459999999999998E-2</v>
      </c>
      <c r="E552" s="51">
        <f>+C552*D552</f>
        <v>0.10338</v>
      </c>
      <c r="F552" s="37"/>
      <c r="G552" s="37"/>
      <c r="H552" s="37">
        <f>+'Minutos MOD por exmen '!C34</f>
        <v>0.6</v>
      </c>
      <c r="I552" s="100">
        <f>+'tasa MOD '!I37</f>
        <v>4.4725192584766118</v>
      </c>
      <c r="J552" s="37">
        <f>+I552*H552</f>
        <v>2.6835115550859672</v>
      </c>
      <c r="K552" s="37"/>
      <c r="L552" s="37">
        <f>+J561</f>
        <v>2.6835115550859672</v>
      </c>
      <c r="M552" s="109">
        <f>+'tasa cif'!G9</f>
        <v>0.76985269116945931</v>
      </c>
      <c r="N552" s="37">
        <f>+L552*M552</f>
        <v>2.0659085924672724</v>
      </c>
      <c r="O552" s="580" t="s">
        <v>225</v>
      </c>
      <c r="P552" s="580"/>
      <c r="Q552" s="35">
        <f>+E561</f>
        <v>0.75215333333333323</v>
      </c>
      <c r="R552" s="38"/>
    </row>
    <row r="553" spans="1:18" ht="15.75" x14ac:dyDescent="0.25">
      <c r="A553" s="50"/>
      <c r="B553" s="14" t="s">
        <v>233</v>
      </c>
      <c r="C553" s="396">
        <v>1</v>
      </c>
      <c r="D553" s="51">
        <f>+'kardex reactivos 1'!G335</f>
        <v>5.3400000000000024E-2</v>
      </c>
      <c r="E553" s="51">
        <f>+C553*D553</f>
        <v>5.3400000000000024E-2</v>
      </c>
      <c r="F553" s="37"/>
      <c r="G553" s="37"/>
      <c r="H553" s="37"/>
      <c r="I553" s="37"/>
      <c r="J553" s="37"/>
      <c r="K553" s="37"/>
      <c r="L553" s="37"/>
      <c r="M553" s="37"/>
      <c r="N553" s="37"/>
      <c r="O553" s="505" t="s">
        <v>226</v>
      </c>
      <c r="P553" s="505"/>
      <c r="Q553">
        <f>+J561</f>
        <v>2.6835115550859672</v>
      </c>
      <c r="R553" s="38"/>
    </row>
    <row r="554" spans="1:18" ht="15.75" x14ac:dyDescent="0.25">
      <c r="A554" s="50"/>
      <c r="B554" s="14" t="s">
        <v>234</v>
      </c>
      <c r="C554" s="396">
        <v>1</v>
      </c>
      <c r="D554" s="51">
        <f>+'kardex reactivos 1'!G357</f>
        <v>3.4979999999999976E-2</v>
      </c>
      <c r="E554" s="51">
        <f>+C554*D554</f>
        <v>3.4979999999999976E-2</v>
      </c>
      <c r="F554" s="37"/>
      <c r="G554" s="37"/>
      <c r="H554" s="37"/>
      <c r="I554" s="37"/>
      <c r="J554" s="37"/>
      <c r="K554" s="37"/>
      <c r="L554" s="37"/>
      <c r="M554" s="37"/>
      <c r="N554" s="37"/>
      <c r="O554" s="43" t="s">
        <v>227</v>
      </c>
      <c r="P554" s="349"/>
      <c r="Q554">
        <f>+N561</f>
        <v>2.0659085924672724</v>
      </c>
      <c r="R554" s="38"/>
    </row>
    <row r="555" spans="1:18" ht="16.5" thickBot="1" x14ac:dyDescent="0.3">
      <c r="A555" s="50"/>
      <c r="B555" s="14" t="s">
        <v>98</v>
      </c>
      <c r="C555" s="396">
        <v>1</v>
      </c>
      <c r="D555" s="51">
        <f>+'kardex reactivos 1'!G379</f>
        <v>2.885999999999999E-2</v>
      </c>
      <c r="E555" s="51">
        <f t="shared" ref="E555:E560" si="28">+C555*D555</f>
        <v>2.885999999999999E-2</v>
      </c>
      <c r="F555" s="37"/>
      <c r="G555" s="37"/>
      <c r="H555" s="37"/>
      <c r="I555" s="37"/>
      <c r="J555" s="37"/>
      <c r="K555" s="37"/>
      <c r="L555" s="37"/>
      <c r="M555" s="37"/>
      <c r="N555" s="37"/>
      <c r="O555" s="43"/>
      <c r="P555" s="349"/>
      <c r="Q555" s="356">
        <f>SUM(Q552:Q554)</f>
        <v>5.5015734808865728</v>
      </c>
      <c r="R555" s="38"/>
    </row>
    <row r="556" spans="1:18" ht="16.5" thickTop="1" x14ac:dyDescent="0.25">
      <c r="A556" s="50"/>
      <c r="B556" s="14" t="s">
        <v>99</v>
      </c>
      <c r="C556" s="396">
        <v>1.5</v>
      </c>
      <c r="D556" s="51">
        <f>+'kardex reactivos 1'!G404</f>
        <v>3.7999999999999992E-2</v>
      </c>
      <c r="E556" s="51">
        <f t="shared" si="28"/>
        <v>5.6999999999999988E-2</v>
      </c>
      <c r="F556" s="37"/>
      <c r="G556" s="37"/>
      <c r="H556" s="37"/>
      <c r="I556" s="37"/>
      <c r="J556" s="37"/>
      <c r="K556" s="37"/>
      <c r="L556" s="37"/>
      <c r="M556" s="37"/>
      <c r="N556" s="37"/>
      <c r="O556" s="43"/>
      <c r="P556" s="349"/>
      <c r="R556" s="38"/>
    </row>
    <row r="557" spans="1:18" ht="15.75" x14ac:dyDescent="0.25">
      <c r="A557" s="50"/>
      <c r="B557" s="14" t="s">
        <v>604</v>
      </c>
      <c r="C557" s="396">
        <v>2</v>
      </c>
      <c r="D557" s="51">
        <f>+'kardex reactivos 2'!G35</f>
        <v>0.124</v>
      </c>
      <c r="E557" s="51">
        <f t="shared" si="28"/>
        <v>0.248</v>
      </c>
      <c r="F557" s="37"/>
      <c r="G557" s="37"/>
      <c r="H557" s="37"/>
      <c r="I557" s="37"/>
      <c r="J557" s="37"/>
      <c r="K557" s="37"/>
      <c r="L557" s="37"/>
      <c r="M557" s="37"/>
      <c r="N557" s="37"/>
      <c r="O557" s="43"/>
      <c r="P557" s="349"/>
      <c r="R557" s="38"/>
    </row>
    <row r="558" spans="1:18" ht="15.75" x14ac:dyDescent="0.25">
      <c r="A558" s="50"/>
      <c r="B558" s="14" t="s">
        <v>235</v>
      </c>
      <c r="C558" s="396">
        <v>1</v>
      </c>
      <c r="D558" s="51">
        <f>+'kardex reactivos 1'!G438</f>
        <v>8.2959999999999992E-2</v>
      </c>
      <c r="E558" s="51">
        <f t="shared" si="28"/>
        <v>8.2959999999999992E-2</v>
      </c>
      <c r="F558" s="37"/>
      <c r="G558" s="37"/>
      <c r="H558" s="37"/>
      <c r="I558" s="37"/>
      <c r="J558" s="37"/>
      <c r="K558" s="37"/>
      <c r="L558" s="37"/>
      <c r="M558" s="37"/>
      <c r="N558" s="37"/>
      <c r="O558" s="43"/>
      <c r="P558" s="349"/>
      <c r="R558" s="38"/>
    </row>
    <row r="559" spans="1:18" ht="15.75" x14ac:dyDescent="0.25">
      <c r="A559" s="50"/>
      <c r="B559" s="353" t="s">
        <v>606</v>
      </c>
      <c r="C559" s="396">
        <v>2.5</v>
      </c>
      <c r="D559" s="51">
        <f>+'kardex reactivos 1'!G493</f>
        <v>4.9000000000000002E-2</v>
      </c>
      <c r="E559" s="51">
        <f t="shared" si="28"/>
        <v>0.1225</v>
      </c>
      <c r="F559" s="37"/>
      <c r="G559" s="37"/>
      <c r="H559" s="37"/>
      <c r="I559" s="37"/>
      <c r="J559" s="37"/>
      <c r="K559" s="37"/>
      <c r="L559" s="37"/>
      <c r="M559" s="37"/>
      <c r="N559" s="37"/>
      <c r="O559" s="43"/>
      <c r="P559" s="349"/>
      <c r="R559" s="38"/>
    </row>
    <row r="560" spans="1:18" ht="15.75" x14ac:dyDescent="0.25">
      <c r="A560" s="50"/>
      <c r="B560" s="14" t="s">
        <v>93</v>
      </c>
      <c r="C560" s="396">
        <v>0.5</v>
      </c>
      <c r="D560" s="51">
        <f>+'kardex reactivos 1'!G285</f>
        <v>4.2146666666666666E-2</v>
      </c>
      <c r="E560" s="51">
        <f t="shared" si="28"/>
        <v>2.1073333333333333E-2</v>
      </c>
      <c r="F560" s="37"/>
      <c r="G560" s="37"/>
      <c r="H560" s="37"/>
      <c r="I560" s="37"/>
      <c r="J560" s="37"/>
      <c r="K560" s="37"/>
      <c r="L560" s="37"/>
      <c r="M560" s="37"/>
      <c r="N560" s="37"/>
      <c r="O560" s="43"/>
      <c r="P560" s="349"/>
      <c r="R560" s="38"/>
    </row>
    <row r="561" spans="1:18" ht="15.75" x14ac:dyDescent="0.25">
      <c r="A561" s="489" t="s">
        <v>220</v>
      </c>
      <c r="B561" s="489"/>
      <c r="C561" s="489"/>
      <c r="D561" s="489"/>
      <c r="E561" s="52">
        <f>SUM(E552:E560)</f>
        <v>0.75215333333333323</v>
      </c>
      <c r="F561" s="37"/>
      <c r="G561" s="37"/>
      <c r="H561" s="489" t="s">
        <v>220</v>
      </c>
      <c r="I561" s="489"/>
      <c r="J561" s="53">
        <f>+J552</f>
        <v>2.6835115550859672</v>
      </c>
      <c r="K561" s="37"/>
      <c r="L561" s="37"/>
      <c r="M561" s="37"/>
      <c r="N561" s="37">
        <f>+N552</f>
        <v>2.0659085924672724</v>
      </c>
      <c r="O561" s="490"/>
      <c r="P561" s="491"/>
      <c r="Q561" s="367"/>
      <c r="R561" s="357"/>
    </row>
    <row r="564" spans="1:18" ht="15.75" x14ac:dyDescent="0.25">
      <c r="A564" s="506" t="s">
        <v>208</v>
      </c>
      <c r="B564" s="507"/>
      <c r="C564" s="507"/>
      <c r="D564" s="507"/>
      <c r="E564" s="507"/>
      <c r="F564" s="507"/>
      <c r="G564" s="507"/>
      <c r="H564" s="507"/>
      <c r="I564" s="507"/>
      <c r="J564" s="507"/>
      <c r="K564" s="507"/>
      <c r="L564" s="507"/>
      <c r="M564" s="507"/>
      <c r="N564" s="507"/>
      <c r="O564" s="507"/>
      <c r="P564" s="507"/>
      <c r="Q564" s="507"/>
      <c r="R564" s="508"/>
    </row>
    <row r="565" spans="1:18" ht="15.75" x14ac:dyDescent="0.25">
      <c r="A565" s="347" t="s">
        <v>209</v>
      </c>
      <c r="B565" s="348"/>
      <c r="C565" s="39"/>
      <c r="D565" s="55"/>
      <c r="E565" s="39"/>
      <c r="F565" s="39"/>
      <c r="G565" s="39"/>
      <c r="H565" s="494"/>
      <c r="I565" s="494"/>
      <c r="J565" s="494"/>
      <c r="K565" s="39"/>
      <c r="L565" s="39"/>
      <c r="M565" s="39"/>
      <c r="N565" s="39"/>
      <c r="O565" s="39"/>
      <c r="P565" s="39"/>
      <c r="Q565" s="39"/>
      <c r="R565" s="42"/>
    </row>
    <row r="566" spans="1:18" ht="15.75" x14ac:dyDescent="0.25">
      <c r="A566" s="347" t="s">
        <v>228</v>
      </c>
      <c r="B566" s="493" t="s">
        <v>608</v>
      </c>
      <c r="C566" s="493"/>
      <c r="D566" s="55"/>
      <c r="E566" s="39"/>
      <c r="F566" s="39"/>
      <c r="G566" s="39"/>
      <c r="H566" s="494"/>
      <c r="I566" s="494"/>
      <c r="J566" s="494"/>
      <c r="K566" s="39"/>
      <c r="L566" s="39"/>
      <c r="M566" s="39"/>
      <c r="N566" s="39"/>
      <c r="O566" s="39"/>
      <c r="P566" s="39"/>
      <c r="Q566" s="39"/>
      <c r="R566" s="42"/>
    </row>
    <row r="567" spans="1:18" ht="15.75" x14ac:dyDescent="0.25">
      <c r="A567" s="492" t="s">
        <v>210</v>
      </c>
      <c r="B567" s="493"/>
      <c r="C567" s="348"/>
      <c r="D567" s="56"/>
      <c r="E567" s="39"/>
      <c r="F567" s="39"/>
      <c r="G567" s="39"/>
      <c r="H567" s="494"/>
      <c r="I567" s="494"/>
      <c r="J567" s="494"/>
      <c r="K567" s="39"/>
      <c r="L567" s="39"/>
      <c r="M567" s="39"/>
      <c r="N567" s="39"/>
      <c r="O567" s="39"/>
      <c r="P567" s="39"/>
      <c r="Q567" s="39"/>
      <c r="R567" s="42"/>
    </row>
    <row r="568" spans="1:18" ht="15.75" x14ac:dyDescent="0.25">
      <c r="A568" s="495" t="s">
        <v>211</v>
      </c>
      <c r="B568" s="494"/>
      <c r="C568" s="494"/>
      <c r="D568" s="55"/>
      <c r="E568" s="39"/>
      <c r="F568" s="39"/>
      <c r="G568" s="39"/>
      <c r="H568" s="494"/>
      <c r="I568" s="494"/>
      <c r="J568" s="494"/>
      <c r="K568" s="39"/>
      <c r="L568" s="39"/>
      <c r="M568" s="39"/>
      <c r="N568" s="39"/>
      <c r="O568" s="39"/>
      <c r="P568" s="39"/>
      <c r="Q568" s="39"/>
      <c r="R568" s="42"/>
    </row>
    <row r="569" spans="1:18" ht="15.75" x14ac:dyDescent="0.25">
      <c r="A569" s="496" t="s">
        <v>212</v>
      </c>
      <c r="B569" s="496"/>
      <c r="C569" s="496"/>
      <c r="D569" s="496"/>
      <c r="E569" s="496"/>
      <c r="F569" s="496" t="s">
        <v>213</v>
      </c>
      <c r="G569" s="496"/>
      <c r="H569" s="496"/>
      <c r="I569" s="496"/>
      <c r="J569" s="496"/>
      <c r="K569" s="497" t="s">
        <v>221</v>
      </c>
      <c r="L569" s="497"/>
      <c r="M569" s="497"/>
      <c r="N569" s="497"/>
      <c r="O569" s="496" t="s">
        <v>222</v>
      </c>
      <c r="P569" s="496"/>
      <c r="Q569" s="496"/>
      <c r="R569" s="496"/>
    </row>
    <row r="570" spans="1:18" ht="31.5" x14ac:dyDescent="0.25">
      <c r="A570" s="351" t="s">
        <v>0</v>
      </c>
      <c r="B570" s="351" t="s">
        <v>1</v>
      </c>
      <c r="C570" s="351" t="s">
        <v>214</v>
      </c>
      <c r="D570" s="57" t="s">
        <v>215</v>
      </c>
      <c r="E570" s="49" t="s">
        <v>216</v>
      </c>
      <c r="F570" s="351" t="s">
        <v>0</v>
      </c>
      <c r="G570" s="49" t="s">
        <v>217</v>
      </c>
      <c r="H570" s="351" t="s">
        <v>218</v>
      </c>
      <c r="I570" s="49" t="s">
        <v>219</v>
      </c>
      <c r="J570" s="49" t="s">
        <v>216</v>
      </c>
      <c r="K570" s="351" t="s">
        <v>0</v>
      </c>
      <c r="L570" s="49" t="s">
        <v>321</v>
      </c>
      <c r="M570" s="49" t="s">
        <v>224</v>
      </c>
      <c r="N570" s="49" t="s">
        <v>216</v>
      </c>
      <c r="O570" s="496"/>
      <c r="P570" s="496"/>
      <c r="Q570" s="496"/>
      <c r="R570" s="496"/>
    </row>
    <row r="571" spans="1:18" ht="15.75" x14ac:dyDescent="0.25">
      <c r="A571" s="50"/>
      <c r="B571" s="14" t="s">
        <v>86</v>
      </c>
      <c r="C571" s="328">
        <v>0.5</v>
      </c>
      <c r="D571" s="51">
        <f>+'kardex reactivos 1'!G166</f>
        <v>4.1119999999999997E-2</v>
      </c>
      <c r="E571" s="51">
        <f>+C571*D571</f>
        <v>2.0559999999999998E-2</v>
      </c>
      <c r="F571" s="37"/>
      <c r="G571" s="37"/>
      <c r="H571" s="37">
        <f>+'Minutos MOD por exmen '!C35</f>
        <v>0.4</v>
      </c>
      <c r="I571" s="100">
        <f>+'tasa MOD '!I37</f>
        <v>4.4725192584766118</v>
      </c>
      <c r="J571" s="37">
        <f>+I571*H571</f>
        <v>1.7890077033906449</v>
      </c>
      <c r="K571" s="37"/>
      <c r="L571" s="37">
        <f>+J578</f>
        <v>1.7890077033906449</v>
      </c>
      <c r="M571" s="109">
        <f>+'tasa cif'!G9</f>
        <v>0.76985269116945931</v>
      </c>
      <c r="N571" s="37">
        <f>+L571*M571</f>
        <v>1.3772723949781818</v>
      </c>
      <c r="O571" s="505" t="s">
        <v>225</v>
      </c>
      <c r="P571" s="505"/>
      <c r="Q571" s="35">
        <f>+E578</f>
        <v>0.37683333333333335</v>
      </c>
      <c r="R571" s="38"/>
    </row>
    <row r="572" spans="1:18" ht="15.75" x14ac:dyDescent="0.25">
      <c r="A572" s="50"/>
      <c r="B572" s="312" t="s">
        <v>159</v>
      </c>
      <c r="C572" s="328">
        <v>1.5</v>
      </c>
      <c r="D572" s="51">
        <f>+'kardex reactivos 3'!G26</f>
        <v>4.4999999999999998E-2</v>
      </c>
      <c r="E572" s="51">
        <f>+C572*D572</f>
        <v>6.7500000000000004E-2</v>
      </c>
      <c r="F572" s="37"/>
      <c r="G572" s="37"/>
      <c r="H572" s="37"/>
      <c r="I572" s="37"/>
      <c r="J572" s="37"/>
      <c r="K572" s="37"/>
      <c r="L572" s="37"/>
      <c r="M572" s="37"/>
      <c r="N572" s="37"/>
      <c r="O572" s="505" t="s">
        <v>226</v>
      </c>
      <c r="P572" s="505"/>
      <c r="Q572">
        <f>+J578</f>
        <v>1.7890077033906449</v>
      </c>
      <c r="R572" s="38"/>
    </row>
    <row r="573" spans="1:18" ht="15.75" x14ac:dyDescent="0.25">
      <c r="A573" s="50"/>
      <c r="B573" s="154" t="s">
        <v>229</v>
      </c>
      <c r="C573" s="328">
        <v>1</v>
      </c>
      <c r="D573" s="51">
        <f>+'kardex reactivos 1'!G202</f>
        <v>6.8000000000000005E-2</v>
      </c>
      <c r="E573" s="51">
        <f>+C573*D573</f>
        <v>6.8000000000000005E-2</v>
      </c>
      <c r="F573" s="37"/>
      <c r="G573" s="37"/>
      <c r="H573" s="37"/>
      <c r="I573" s="37"/>
      <c r="J573" s="37"/>
      <c r="K573" s="37"/>
      <c r="L573" s="37"/>
      <c r="M573" s="37"/>
      <c r="N573" s="37"/>
      <c r="O573" s="43" t="s">
        <v>227</v>
      </c>
      <c r="P573" s="349"/>
      <c r="Q573">
        <f>+N578</f>
        <v>1.3772723949781818</v>
      </c>
      <c r="R573" s="38"/>
    </row>
    <row r="574" spans="1:18" ht="16.5" thickBot="1" x14ac:dyDescent="0.3">
      <c r="A574" s="50"/>
      <c r="B574" s="303" t="s">
        <v>230</v>
      </c>
      <c r="C574" s="328">
        <v>1</v>
      </c>
      <c r="D574" s="51">
        <f>+'kardex reactivos 1'!G224</f>
        <v>6.8000000000000005E-2</v>
      </c>
      <c r="E574" s="51">
        <f t="shared" ref="E574:E577" si="29">+C574*D574</f>
        <v>6.8000000000000005E-2</v>
      </c>
      <c r="F574" s="37"/>
      <c r="G574" s="37"/>
      <c r="H574" s="37"/>
      <c r="I574" s="37"/>
      <c r="J574" s="37"/>
      <c r="K574" s="37"/>
      <c r="L574" s="37"/>
      <c r="M574" s="37"/>
      <c r="N574" s="37"/>
      <c r="O574" s="43"/>
      <c r="P574" s="349"/>
      <c r="Q574" s="356">
        <f>SUM(Q571:Q573)</f>
        <v>3.5431134317021598</v>
      </c>
      <c r="R574" s="38"/>
    </row>
    <row r="575" spans="1:18" ht="16.5" thickTop="1" x14ac:dyDescent="0.25">
      <c r="A575" s="50"/>
      <c r="B575" s="312" t="s">
        <v>609</v>
      </c>
      <c r="C575" s="328">
        <v>3</v>
      </c>
      <c r="D575" s="51">
        <f>+'kardex reactivos 2'!G537</f>
        <v>2.1950000000000001E-2</v>
      </c>
      <c r="E575" s="51">
        <f t="shared" si="29"/>
        <v>6.5850000000000006E-2</v>
      </c>
      <c r="F575" s="37"/>
      <c r="G575" s="37"/>
      <c r="H575" s="37"/>
      <c r="I575" s="37"/>
      <c r="J575" s="37"/>
      <c r="K575" s="37"/>
      <c r="L575" s="37"/>
      <c r="M575" s="37"/>
      <c r="N575" s="37"/>
      <c r="O575" s="43"/>
      <c r="P575" s="349"/>
      <c r="R575" s="38"/>
    </row>
    <row r="576" spans="1:18" ht="15.75" x14ac:dyDescent="0.25">
      <c r="A576" s="50"/>
      <c r="B576" s="354" t="s">
        <v>201</v>
      </c>
      <c r="C576" s="329">
        <v>3</v>
      </c>
      <c r="D576" s="51">
        <f>+'kardex reactivos 2'!G550</f>
        <v>2.1950000000000001E-2</v>
      </c>
      <c r="E576" s="51">
        <f t="shared" si="29"/>
        <v>6.5850000000000006E-2</v>
      </c>
      <c r="F576" s="37"/>
      <c r="G576" s="37"/>
      <c r="H576" s="37"/>
      <c r="I576" s="37"/>
      <c r="J576" s="37"/>
      <c r="K576" s="37"/>
      <c r="L576" s="37"/>
      <c r="M576" s="37"/>
      <c r="N576" s="37"/>
      <c r="O576" s="43"/>
      <c r="P576" s="349"/>
      <c r="R576" s="38"/>
    </row>
    <row r="577" spans="1:18" ht="15.75" x14ac:dyDescent="0.25">
      <c r="A577" s="50"/>
      <c r="B577" s="14" t="s">
        <v>93</v>
      </c>
      <c r="C577" s="328">
        <v>0.5</v>
      </c>
      <c r="D577" s="51">
        <f>+'kardex reactivos 1'!G286</f>
        <v>4.2146666666666666E-2</v>
      </c>
      <c r="E577" s="51">
        <f t="shared" si="29"/>
        <v>2.1073333333333333E-2</v>
      </c>
      <c r="F577" s="37"/>
      <c r="G577" s="37"/>
      <c r="H577" s="37"/>
      <c r="I577" s="37"/>
      <c r="J577" s="37"/>
      <c r="K577" s="37"/>
      <c r="L577" s="37"/>
      <c r="M577" s="37"/>
      <c r="N577" s="37"/>
      <c r="O577" s="43"/>
      <c r="P577" s="349"/>
      <c r="R577" s="38"/>
    </row>
    <row r="578" spans="1:18" ht="15.75" x14ac:dyDescent="0.25">
      <c r="A578" s="489" t="s">
        <v>220</v>
      </c>
      <c r="B578" s="489"/>
      <c r="C578" s="489"/>
      <c r="D578" s="489"/>
      <c r="E578" s="52">
        <f>SUM(E571:E577)</f>
        <v>0.37683333333333335</v>
      </c>
      <c r="F578" s="37"/>
      <c r="G578" s="37"/>
      <c r="H578" s="489" t="s">
        <v>220</v>
      </c>
      <c r="I578" s="489"/>
      <c r="J578" s="53">
        <f>+J571</f>
        <v>1.7890077033906449</v>
      </c>
      <c r="K578" s="37"/>
      <c r="L578" s="37"/>
      <c r="M578" s="37"/>
      <c r="N578" s="37">
        <f>+N571</f>
        <v>1.3772723949781818</v>
      </c>
      <c r="O578" s="490"/>
      <c r="P578" s="491"/>
      <c r="Q578" s="367"/>
      <c r="R578" s="357"/>
    </row>
    <row r="581" spans="1:18" ht="15.75" x14ac:dyDescent="0.25">
      <c r="A581" s="506" t="s">
        <v>208</v>
      </c>
      <c r="B581" s="507"/>
      <c r="C581" s="507"/>
      <c r="D581" s="507"/>
      <c r="E581" s="507"/>
      <c r="F581" s="507"/>
      <c r="G581" s="507"/>
      <c r="H581" s="507"/>
      <c r="I581" s="507"/>
      <c r="J581" s="507"/>
      <c r="K581" s="507"/>
      <c r="L581" s="507"/>
      <c r="M581" s="507"/>
      <c r="N581" s="507"/>
      <c r="O581" s="507"/>
      <c r="P581" s="507"/>
      <c r="Q581" s="507"/>
      <c r="R581" s="508"/>
    </row>
    <row r="582" spans="1:18" ht="15.75" x14ac:dyDescent="0.25">
      <c r="A582" s="347" t="s">
        <v>209</v>
      </c>
      <c r="B582" s="348"/>
      <c r="C582" s="39"/>
      <c r="D582" s="55"/>
      <c r="E582" s="39"/>
      <c r="F582" s="39"/>
      <c r="G582" s="39"/>
      <c r="H582" s="494"/>
      <c r="I582" s="494"/>
      <c r="J582" s="494"/>
      <c r="K582" s="39"/>
      <c r="L582" s="39"/>
      <c r="M582" s="39"/>
      <c r="N582" s="39"/>
      <c r="O582" s="39"/>
      <c r="P582" s="39"/>
      <c r="Q582" s="39"/>
      <c r="R582" s="42"/>
    </row>
    <row r="583" spans="1:18" ht="15.75" x14ac:dyDescent="0.25">
      <c r="A583" s="347" t="s">
        <v>228</v>
      </c>
      <c r="B583" s="493" t="s">
        <v>611</v>
      </c>
      <c r="C583" s="493"/>
      <c r="D583" s="55"/>
      <c r="E583" s="39"/>
      <c r="F583" s="39"/>
      <c r="G583" s="39"/>
      <c r="H583" s="494"/>
      <c r="I583" s="494"/>
      <c r="J583" s="494"/>
      <c r="K583" s="39"/>
      <c r="L583" s="39"/>
      <c r="M583" s="39"/>
      <c r="N583" s="39"/>
      <c r="O583" s="39"/>
      <c r="P583" s="39"/>
      <c r="Q583" s="39"/>
      <c r="R583" s="42"/>
    </row>
    <row r="584" spans="1:18" ht="15.75" x14ac:dyDescent="0.25">
      <c r="A584" s="492" t="s">
        <v>210</v>
      </c>
      <c r="B584" s="493"/>
      <c r="C584" s="348"/>
      <c r="D584" s="56"/>
      <c r="E584" s="39"/>
      <c r="F584" s="39"/>
      <c r="G584" s="39"/>
      <c r="H584" s="494"/>
      <c r="I584" s="494"/>
      <c r="J584" s="494"/>
      <c r="K584" s="39"/>
      <c r="L584" s="39"/>
      <c r="M584" s="39"/>
      <c r="N584" s="39"/>
      <c r="O584" s="39"/>
      <c r="P584" s="39"/>
      <c r="Q584" s="39"/>
      <c r="R584" s="42"/>
    </row>
    <row r="585" spans="1:18" ht="15.75" x14ac:dyDescent="0.25">
      <c r="A585" s="495" t="s">
        <v>211</v>
      </c>
      <c r="B585" s="494"/>
      <c r="C585" s="494"/>
      <c r="D585" s="55"/>
      <c r="E585" s="39"/>
      <c r="F585" s="39"/>
      <c r="G585" s="39"/>
      <c r="H585" s="494"/>
      <c r="I585" s="494"/>
      <c r="J585" s="494"/>
      <c r="K585" s="39"/>
      <c r="L585" s="39"/>
      <c r="M585" s="39"/>
      <c r="N585" s="39"/>
      <c r="O585" s="39"/>
      <c r="P585" s="39"/>
      <c r="Q585" s="39"/>
      <c r="R585" s="42"/>
    </row>
    <row r="586" spans="1:18" ht="15.75" x14ac:dyDescent="0.25">
      <c r="A586" s="496" t="s">
        <v>212</v>
      </c>
      <c r="B586" s="496"/>
      <c r="C586" s="496"/>
      <c r="D586" s="496"/>
      <c r="E586" s="496"/>
      <c r="F586" s="496" t="s">
        <v>213</v>
      </c>
      <c r="G586" s="496"/>
      <c r="H586" s="496"/>
      <c r="I586" s="496"/>
      <c r="J586" s="496"/>
      <c r="K586" s="497" t="s">
        <v>221</v>
      </c>
      <c r="L586" s="497"/>
      <c r="M586" s="497"/>
      <c r="N586" s="497"/>
      <c r="O586" s="496" t="s">
        <v>222</v>
      </c>
      <c r="P586" s="496"/>
      <c r="Q586" s="496"/>
      <c r="R586" s="496"/>
    </row>
    <row r="587" spans="1:18" ht="31.5" x14ac:dyDescent="0.25">
      <c r="A587" s="351" t="s">
        <v>0</v>
      </c>
      <c r="B587" s="351" t="s">
        <v>1</v>
      </c>
      <c r="C587" s="351" t="s">
        <v>214</v>
      </c>
      <c r="D587" s="57" t="s">
        <v>215</v>
      </c>
      <c r="E587" s="49" t="s">
        <v>216</v>
      </c>
      <c r="F587" s="351" t="s">
        <v>0</v>
      </c>
      <c r="G587" s="49" t="s">
        <v>217</v>
      </c>
      <c r="H587" s="351" t="s">
        <v>218</v>
      </c>
      <c r="I587" s="49" t="s">
        <v>219</v>
      </c>
      <c r="J587" s="49" t="s">
        <v>216</v>
      </c>
      <c r="K587" s="351" t="s">
        <v>0</v>
      </c>
      <c r="L587" s="49" t="s">
        <v>321</v>
      </c>
      <c r="M587" s="49" t="s">
        <v>224</v>
      </c>
      <c r="N587" s="49" t="s">
        <v>216</v>
      </c>
      <c r="O587" s="496"/>
      <c r="P587" s="496"/>
      <c r="Q587" s="496"/>
      <c r="R587" s="496"/>
    </row>
    <row r="588" spans="1:18" ht="15.75" x14ac:dyDescent="0.25">
      <c r="A588" s="50"/>
      <c r="B588" s="14" t="s">
        <v>79</v>
      </c>
      <c r="C588" s="346">
        <v>1</v>
      </c>
      <c r="D588" s="51">
        <f>+'kardex reactivos 1'!G103</f>
        <v>9.8799999999999999E-2</v>
      </c>
      <c r="E588" s="51">
        <f>+C588*D588</f>
        <v>9.8799999999999999E-2</v>
      </c>
      <c r="F588" s="37"/>
      <c r="G588" s="37"/>
      <c r="H588" s="37">
        <f>+'Minutos MOD por exmen '!C36</f>
        <v>0.26666666666666666</v>
      </c>
      <c r="I588" s="100">
        <f>+'tasa MOD '!I37</f>
        <v>4.4725192584766118</v>
      </c>
      <c r="J588" s="37">
        <f>+I588*H588</f>
        <v>1.1926718022604299</v>
      </c>
      <c r="K588" s="37"/>
      <c r="L588" s="37">
        <f>+J592</f>
        <v>1.1926718022604299</v>
      </c>
      <c r="M588" s="109">
        <f>+'tasa cif'!G9</f>
        <v>0.76985269116945931</v>
      </c>
      <c r="N588" s="37">
        <f>+L588*M588</f>
        <v>0.91818159665212118</v>
      </c>
      <c r="O588" s="505" t="s">
        <v>225</v>
      </c>
      <c r="P588" s="505"/>
      <c r="Q588" s="35">
        <f>+E592</f>
        <v>9.8799999999999999E-2</v>
      </c>
      <c r="R588" s="38"/>
    </row>
    <row r="589" spans="1:18" ht="15.75" x14ac:dyDescent="0.25">
      <c r="A589" s="50"/>
      <c r="B589" s="312"/>
      <c r="C589" s="346"/>
      <c r="D589" s="51"/>
      <c r="E589" s="51">
        <f>+C589*D589</f>
        <v>0</v>
      </c>
      <c r="F589" s="37"/>
      <c r="G589" s="37"/>
      <c r="H589" s="37"/>
      <c r="I589" s="37"/>
      <c r="J589" s="37"/>
      <c r="K589" s="37"/>
      <c r="L589" s="37"/>
      <c r="M589" s="37"/>
      <c r="N589" s="37"/>
      <c r="O589" s="505" t="s">
        <v>226</v>
      </c>
      <c r="P589" s="505"/>
      <c r="Q589">
        <f>+J592</f>
        <v>1.1926718022604299</v>
      </c>
      <c r="R589" s="38"/>
    </row>
    <row r="590" spans="1:18" ht="15.75" x14ac:dyDescent="0.25">
      <c r="A590" s="50"/>
      <c r="B590" s="154"/>
      <c r="C590" s="346"/>
      <c r="D590" s="51"/>
      <c r="E590" s="51">
        <f>+C590*D590</f>
        <v>0</v>
      </c>
      <c r="F590" s="37"/>
      <c r="G590" s="37"/>
      <c r="H590" s="37"/>
      <c r="I590" s="37"/>
      <c r="J590" s="37"/>
      <c r="K590" s="37"/>
      <c r="L590" s="37"/>
      <c r="M590" s="37"/>
      <c r="N590" s="37"/>
      <c r="O590" s="43" t="s">
        <v>227</v>
      </c>
      <c r="P590" s="349"/>
      <c r="Q590">
        <f>+N592</f>
        <v>0.91818159665212118</v>
      </c>
      <c r="R590" s="38"/>
    </row>
    <row r="591" spans="1:18" ht="16.5" thickBot="1" x14ac:dyDescent="0.3">
      <c r="A591" s="50"/>
      <c r="B591" s="303"/>
      <c r="C591" s="346"/>
      <c r="D591" s="51"/>
      <c r="E591" s="51">
        <f t="shared" ref="E591" si="30">+C591*D591</f>
        <v>0</v>
      </c>
      <c r="F591" s="37"/>
      <c r="G591" s="37"/>
      <c r="H591" s="37"/>
      <c r="I591" s="37"/>
      <c r="J591" s="37"/>
      <c r="K591" s="37"/>
      <c r="L591" s="37"/>
      <c r="M591" s="37"/>
      <c r="N591" s="37"/>
      <c r="O591" s="43"/>
      <c r="P591" s="349"/>
      <c r="Q591" s="356">
        <f>SUM(Q588:Q590)</f>
        <v>2.2096533989125513</v>
      </c>
      <c r="R591" s="38"/>
    </row>
    <row r="592" spans="1:18" ht="16.5" thickTop="1" x14ac:dyDescent="0.25">
      <c r="A592" s="489" t="s">
        <v>220</v>
      </c>
      <c r="B592" s="489"/>
      <c r="C592" s="489"/>
      <c r="D592" s="489"/>
      <c r="E592" s="52">
        <f>SUM(E588:E591)</f>
        <v>9.8799999999999999E-2</v>
      </c>
      <c r="F592" s="37"/>
      <c r="G592" s="37"/>
      <c r="H592" s="489" t="s">
        <v>220</v>
      </c>
      <c r="I592" s="489"/>
      <c r="J592" s="53">
        <f>+J588</f>
        <v>1.1926718022604299</v>
      </c>
      <c r="K592" s="37"/>
      <c r="L592" s="37"/>
      <c r="M592" s="37"/>
      <c r="N592" s="37">
        <f>+N588</f>
        <v>0.91818159665212118</v>
      </c>
      <c r="O592" s="490"/>
      <c r="P592" s="491"/>
      <c r="Q592" s="367"/>
      <c r="R592" s="357"/>
    </row>
    <row r="596" spans="1:20" ht="15.75" customHeight="1" x14ac:dyDescent="0.25">
      <c r="A596" s="581" t="s">
        <v>208</v>
      </c>
      <c r="B596" s="581"/>
      <c r="C596" s="581"/>
      <c r="D596" s="581"/>
      <c r="E596" s="581"/>
      <c r="F596" s="581"/>
      <c r="G596" s="581"/>
      <c r="H596" s="581"/>
      <c r="I596" s="581"/>
      <c r="J596" s="581"/>
      <c r="K596" s="581"/>
      <c r="L596" s="581"/>
      <c r="M596" s="581"/>
      <c r="N596" s="581"/>
      <c r="O596" s="581"/>
      <c r="P596" s="581"/>
      <c r="Q596" s="581"/>
      <c r="R596" s="581"/>
      <c r="S596" s="376"/>
      <c r="T596" s="39"/>
    </row>
    <row r="597" spans="1:20" ht="15.75" x14ac:dyDescent="0.25">
      <c r="A597" s="363" t="s">
        <v>209</v>
      </c>
      <c r="B597" s="362"/>
      <c r="C597" s="39"/>
      <c r="D597" s="55"/>
      <c r="E597" s="39"/>
      <c r="F597" s="39"/>
      <c r="G597" s="39"/>
      <c r="H597" s="494"/>
      <c r="I597" s="494"/>
      <c r="J597" s="494"/>
      <c r="K597" s="39"/>
      <c r="L597" s="39"/>
      <c r="M597" s="39"/>
      <c r="N597" s="39"/>
      <c r="O597" s="39"/>
      <c r="P597" s="39"/>
      <c r="Q597" s="39"/>
      <c r="R597" s="42"/>
    </row>
    <row r="598" spans="1:20" ht="15.75" x14ac:dyDescent="0.25">
      <c r="A598" s="363" t="s">
        <v>228</v>
      </c>
      <c r="B598" s="493" t="s">
        <v>244</v>
      </c>
      <c r="C598" s="493"/>
      <c r="D598" s="55"/>
      <c r="E598" s="39"/>
      <c r="F598" s="39"/>
      <c r="G598" s="39"/>
      <c r="H598" s="494"/>
      <c r="I598" s="494"/>
      <c r="J598" s="494"/>
      <c r="K598" s="39"/>
      <c r="L598" s="39"/>
      <c r="M598" s="39"/>
      <c r="N598" s="39"/>
      <c r="O598" s="39"/>
      <c r="P598" s="39"/>
      <c r="Q598" s="39"/>
      <c r="R598" s="42"/>
    </row>
    <row r="599" spans="1:20" ht="15.75" x14ac:dyDescent="0.25">
      <c r="A599" s="492" t="s">
        <v>210</v>
      </c>
      <c r="B599" s="493"/>
      <c r="C599" s="362"/>
      <c r="D599" s="56"/>
      <c r="E599" s="39"/>
      <c r="F599" s="39"/>
      <c r="G599" s="39"/>
      <c r="H599" s="494"/>
      <c r="I599" s="494"/>
      <c r="J599" s="494"/>
      <c r="K599" s="39"/>
      <c r="L599" s="39"/>
      <c r="M599" s="39"/>
      <c r="N599" s="39"/>
      <c r="O599" s="39"/>
      <c r="P599" s="39"/>
      <c r="Q599" s="39"/>
      <c r="R599" s="42"/>
    </row>
    <row r="600" spans="1:20" ht="15.75" x14ac:dyDescent="0.25">
      <c r="A600" s="495" t="s">
        <v>211</v>
      </c>
      <c r="B600" s="494"/>
      <c r="C600" s="494"/>
      <c r="D600" s="55"/>
      <c r="E600" s="39"/>
      <c r="F600" s="39"/>
      <c r="G600" s="39"/>
      <c r="H600" s="494"/>
      <c r="I600" s="494"/>
      <c r="J600" s="494"/>
      <c r="K600" s="39"/>
      <c r="L600" s="39"/>
      <c r="M600" s="39"/>
      <c r="N600" s="39"/>
      <c r="O600" s="39"/>
      <c r="P600" s="39"/>
      <c r="Q600" s="39"/>
      <c r="R600" s="42"/>
    </row>
    <row r="601" spans="1:20" ht="15.75" x14ac:dyDescent="0.25">
      <c r="A601" s="496" t="s">
        <v>212</v>
      </c>
      <c r="B601" s="496"/>
      <c r="C601" s="496"/>
      <c r="D601" s="496"/>
      <c r="E601" s="496"/>
      <c r="F601" s="496" t="s">
        <v>213</v>
      </c>
      <c r="G601" s="496"/>
      <c r="H601" s="496"/>
      <c r="I601" s="496"/>
      <c r="J601" s="496"/>
      <c r="K601" s="497" t="s">
        <v>221</v>
      </c>
      <c r="L601" s="497"/>
      <c r="M601" s="497"/>
      <c r="N601" s="497"/>
      <c r="O601" s="498" t="s">
        <v>222</v>
      </c>
      <c r="P601" s="499"/>
      <c r="Q601" s="499"/>
      <c r="R601" s="500"/>
    </row>
    <row r="602" spans="1:20" ht="31.5" x14ac:dyDescent="0.25">
      <c r="A602" s="364" t="s">
        <v>0</v>
      </c>
      <c r="B602" s="364" t="s">
        <v>1</v>
      </c>
      <c r="C602" s="364" t="s">
        <v>214</v>
      </c>
      <c r="D602" s="57" t="s">
        <v>215</v>
      </c>
      <c r="E602" s="49" t="s">
        <v>216</v>
      </c>
      <c r="F602" s="364" t="s">
        <v>0</v>
      </c>
      <c r="G602" s="49" t="s">
        <v>217</v>
      </c>
      <c r="H602" s="364" t="s">
        <v>319</v>
      </c>
      <c r="I602" s="49" t="s">
        <v>219</v>
      </c>
      <c r="J602" s="49" t="s">
        <v>216</v>
      </c>
      <c r="K602" s="364" t="s">
        <v>0</v>
      </c>
      <c r="L602" s="49" t="s">
        <v>321</v>
      </c>
      <c r="M602" s="49" t="s">
        <v>224</v>
      </c>
      <c r="N602" s="49" t="s">
        <v>216</v>
      </c>
      <c r="O602" s="490"/>
      <c r="P602" s="491"/>
      <c r="Q602" s="491"/>
      <c r="R602" s="501"/>
    </row>
    <row r="603" spans="1:20" ht="15.75" x14ac:dyDescent="0.25">
      <c r="A603" s="50"/>
      <c r="B603" s="14" t="s">
        <v>145</v>
      </c>
      <c r="C603" s="37">
        <v>1</v>
      </c>
      <c r="D603" s="51">
        <f>+'kardex reactivos 2'!G370</f>
        <v>5.1999999999999998E-2</v>
      </c>
      <c r="E603" s="51">
        <f>+C603*D603</f>
        <v>5.1999999999999998E-2</v>
      </c>
      <c r="F603" s="37"/>
      <c r="G603" s="37"/>
      <c r="H603" s="37">
        <f>+'Minutos MOD por exmen '!C37</f>
        <v>8.3333333333333329E-2</v>
      </c>
      <c r="I603" s="100">
        <f>+'tasa MOD '!I37</f>
        <v>4.4725192584766118</v>
      </c>
      <c r="J603" s="37">
        <f>+I603*H603</f>
        <v>0.37270993820638432</v>
      </c>
      <c r="K603" s="37"/>
      <c r="L603" s="37">
        <f>+J607</f>
        <v>0.37270993820638432</v>
      </c>
      <c r="M603" s="109">
        <f>+'tasa cif'!G9</f>
        <v>0.76985269116945931</v>
      </c>
      <c r="N603" s="37">
        <f>+L603*M603</f>
        <v>0.28693174895378787</v>
      </c>
      <c r="O603" s="502" t="s">
        <v>225</v>
      </c>
      <c r="P603" s="503"/>
      <c r="Q603" s="277">
        <f>+E607</f>
        <v>5.1999999999999998E-2</v>
      </c>
      <c r="R603" s="278"/>
    </row>
    <row r="604" spans="1:20" ht="15.75" x14ac:dyDescent="0.25">
      <c r="A604" s="50"/>
      <c r="B604" s="54"/>
      <c r="C604" s="37"/>
      <c r="D604" s="51"/>
      <c r="E604" s="51">
        <f t="shared" ref="E604:E606" si="31">+C604*D604</f>
        <v>0</v>
      </c>
      <c r="F604" s="37"/>
      <c r="G604" s="37"/>
      <c r="H604" s="37"/>
      <c r="I604" s="37"/>
      <c r="J604" s="37"/>
      <c r="K604" s="37"/>
      <c r="L604" s="37"/>
      <c r="M604" s="37"/>
      <c r="N604" s="37"/>
      <c r="O604" s="487" t="s">
        <v>226</v>
      </c>
      <c r="P604" s="488"/>
      <c r="Q604" s="39">
        <f>+J607</f>
        <v>0.37270993820638432</v>
      </c>
      <c r="R604" s="233"/>
    </row>
    <row r="605" spans="1:20" ht="15.75" x14ac:dyDescent="0.25">
      <c r="A605" s="50"/>
      <c r="B605" s="37"/>
      <c r="C605" s="37"/>
      <c r="D605" s="51"/>
      <c r="E605" s="51">
        <f t="shared" si="31"/>
        <v>0</v>
      </c>
      <c r="F605" s="37"/>
      <c r="G605" s="37"/>
      <c r="H605" s="37"/>
      <c r="I605" s="37"/>
      <c r="J605" s="37"/>
      <c r="K605" s="37"/>
      <c r="L605" s="37"/>
      <c r="M605" s="37"/>
      <c r="N605" s="37"/>
      <c r="O605" s="279" t="s">
        <v>227</v>
      </c>
      <c r="P605" s="365"/>
      <c r="Q605" s="39">
        <f>+N607</f>
        <v>0.28693174895378787</v>
      </c>
      <c r="R605" s="233"/>
    </row>
    <row r="606" spans="1:20" ht="16.5" thickBot="1" x14ac:dyDescent="0.3">
      <c r="A606" s="50"/>
      <c r="B606" s="37"/>
      <c r="C606" s="37"/>
      <c r="D606" s="51"/>
      <c r="E606" s="51">
        <f t="shared" si="31"/>
        <v>0</v>
      </c>
      <c r="F606" s="37"/>
      <c r="G606" s="37"/>
      <c r="H606" s="37"/>
      <c r="I606" s="37"/>
      <c r="J606" s="37"/>
      <c r="K606" s="37"/>
      <c r="L606" s="37"/>
      <c r="M606" s="37"/>
      <c r="N606" s="37"/>
      <c r="O606" s="366"/>
      <c r="P606" s="365"/>
      <c r="Q606" s="356">
        <f>SUM(Q603:Q605)</f>
        <v>0.71164168716017218</v>
      </c>
      <c r="R606" s="233"/>
    </row>
    <row r="607" spans="1:20" ht="16.5" thickTop="1" x14ac:dyDescent="0.25">
      <c r="A607" s="489" t="s">
        <v>220</v>
      </c>
      <c r="B607" s="489"/>
      <c r="C607" s="489"/>
      <c r="D607" s="489"/>
      <c r="E607" s="52">
        <f>SUM(E603:E606)</f>
        <v>5.1999999999999998E-2</v>
      </c>
      <c r="F607" s="37"/>
      <c r="G607" s="37"/>
      <c r="H607" s="489" t="s">
        <v>220</v>
      </c>
      <c r="I607" s="489"/>
      <c r="J607" s="53">
        <f>+J603</f>
        <v>0.37270993820638432</v>
      </c>
      <c r="K607" s="37"/>
      <c r="L607" s="37"/>
      <c r="M607" s="37"/>
      <c r="N607" s="37">
        <f>+N603</f>
        <v>0.28693174895378787</v>
      </c>
      <c r="O607" s="490"/>
      <c r="P607" s="491"/>
      <c r="Q607" s="367"/>
      <c r="R607" s="280"/>
    </row>
    <row r="610" spans="1:18" ht="15.75" x14ac:dyDescent="0.25">
      <c r="A610" s="506" t="s">
        <v>208</v>
      </c>
      <c r="B610" s="507"/>
      <c r="C610" s="507"/>
      <c r="D610" s="507"/>
      <c r="E610" s="507"/>
      <c r="F610" s="507"/>
      <c r="G610" s="507"/>
      <c r="H610" s="507"/>
      <c r="I610" s="507"/>
      <c r="J610" s="507"/>
      <c r="K610" s="507"/>
      <c r="L610" s="507"/>
      <c r="M610" s="507"/>
      <c r="N610" s="507"/>
      <c r="O610" s="507"/>
      <c r="P610" s="507"/>
      <c r="Q610" s="507"/>
      <c r="R610" s="508"/>
    </row>
    <row r="611" spans="1:18" ht="15.75" x14ac:dyDescent="0.25">
      <c r="A611" s="363" t="s">
        <v>209</v>
      </c>
      <c r="B611" s="362"/>
      <c r="C611" s="39"/>
      <c r="D611" s="55"/>
      <c r="E611" s="39"/>
      <c r="F611" s="39"/>
      <c r="G611" s="39"/>
      <c r="H611" s="494"/>
      <c r="I611" s="494"/>
      <c r="J611" s="494"/>
      <c r="K611" s="39"/>
      <c r="L611" s="39"/>
      <c r="M611" s="39"/>
      <c r="N611" s="39"/>
      <c r="O611" s="39"/>
      <c r="P611" s="39"/>
      <c r="Q611" s="39"/>
      <c r="R611" s="42"/>
    </row>
    <row r="612" spans="1:18" ht="15.75" x14ac:dyDescent="0.25">
      <c r="A612" s="363" t="s">
        <v>228</v>
      </c>
      <c r="B612" s="493" t="s">
        <v>240</v>
      </c>
      <c r="C612" s="493"/>
      <c r="D612" s="55"/>
      <c r="E612" s="39"/>
      <c r="F612" s="39"/>
      <c r="G612" s="39"/>
      <c r="H612" s="494"/>
      <c r="I612" s="494"/>
      <c r="J612" s="494"/>
      <c r="K612" s="39"/>
      <c r="L612" s="39"/>
      <c r="M612" s="39"/>
      <c r="N612" s="39"/>
      <c r="O612" s="39"/>
      <c r="P612" s="39"/>
      <c r="Q612" s="39"/>
      <c r="R612" s="42"/>
    </row>
    <row r="613" spans="1:18" ht="15.75" x14ac:dyDescent="0.25">
      <c r="A613" s="492" t="s">
        <v>210</v>
      </c>
      <c r="B613" s="493"/>
      <c r="C613" s="362"/>
      <c r="D613" s="56"/>
      <c r="E613" s="39"/>
      <c r="F613" s="39"/>
      <c r="G613" s="39"/>
      <c r="H613" s="494"/>
      <c r="I613" s="494"/>
      <c r="J613" s="494"/>
      <c r="K613" s="39"/>
      <c r="L613" s="39"/>
      <c r="M613" s="39"/>
      <c r="N613" s="39"/>
      <c r="O613" s="39"/>
      <c r="P613" s="39"/>
      <c r="Q613" s="39"/>
      <c r="R613" s="42"/>
    </row>
    <row r="614" spans="1:18" ht="15.75" x14ac:dyDescent="0.25">
      <c r="A614" s="510" t="s">
        <v>211</v>
      </c>
      <c r="B614" s="511"/>
      <c r="C614" s="511"/>
      <c r="D614" s="55"/>
      <c r="E614" s="39"/>
      <c r="F614" s="39"/>
      <c r="G614" s="39"/>
      <c r="H614" s="511"/>
      <c r="I614" s="511"/>
      <c r="J614" s="511"/>
      <c r="K614" s="39"/>
      <c r="L614" s="39"/>
      <c r="M614" s="39"/>
      <c r="N614" s="39"/>
      <c r="O614" s="39"/>
      <c r="P614" s="39"/>
      <c r="Q614" s="39"/>
      <c r="R614" s="42"/>
    </row>
    <row r="615" spans="1:18" ht="15.75" x14ac:dyDescent="0.25">
      <c r="A615" s="512" t="s">
        <v>212</v>
      </c>
      <c r="B615" s="513"/>
      <c r="C615" s="513"/>
      <c r="D615" s="513"/>
      <c r="E615" s="514"/>
      <c r="F615" s="512" t="s">
        <v>213</v>
      </c>
      <c r="G615" s="513"/>
      <c r="H615" s="513"/>
      <c r="I615" s="513"/>
      <c r="J615" s="514"/>
      <c r="K615" s="515" t="s">
        <v>221</v>
      </c>
      <c r="L615" s="516"/>
      <c r="M615" s="516"/>
      <c r="N615" s="517"/>
      <c r="O615" s="496" t="s">
        <v>222</v>
      </c>
      <c r="P615" s="496"/>
      <c r="Q615" s="496"/>
      <c r="R615" s="496"/>
    </row>
    <row r="616" spans="1:18" ht="31.5" x14ac:dyDescent="0.25">
      <c r="A616" s="364" t="s">
        <v>0</v>
      </c>
      <c r="B616" s="364" t="s">
        <v>1</v>
      </c>
      <c r="C616" s="364" t="s">
        <v>214</v>
      </c>
      <c r="D616" s="57" t="s">
        <v>215</v>
      </c>
      <c r="E616" s="49" t="s">
        <v>216</v>
      </c>
      <c r="F616" s="364" t="s">
        <v>0</v>
      </c>
      <c r="G616" s="49" t="s">
        <v>217</v>
      </c>
      <c r="H616" s="364" t="s">
        <v>218</v>
      </c>
      <c r="I616" s="49" t="s">
        <v>219</v>
      </c>
      <c r="J616" s="49" t="s">
        <v>216</v>
      </c>
      <c r="K616" s="364" t="s">
        <v>0</v>
      </c>
      <c r="L616" s="49" t="s">
        <v>321</v>
      </c>
      <c r="M616" s="49" t="s">
        <v>224</v>
      </c>
      <c r="N616" s="49" t="s">
        <v>216</v>
      </c>
      <c r="O616" s="496"/>
      <c r="P616" s="496"/>
      <c r="Q616" s="496"/>
      <c r="R616" s="496"/>
    </row>
    <row r="617" spans="1:18" ht="15.75" x14ac:dyDescent="0.25">
      <c r="A617" s="50"/>
      <c r="B617" s="44" t="s">
        <v>175</v>
      </c>
      <c r="C617" s="396">
        <v>1.5</v>
      </c>
      <c r="D617" s="51">
        <f>+'kardex reactivos 3'!G221</f>
        <v>3.1920000000000004E-2</v>
      </c>
      <c r="E617" s="51">
        <f>+C617*D617</f>
        <v>4.7880000000000006E-2</v>
      </c>
      <c r="F617" s="37"/>
      <c r="G617" s="37"/>
      <c r="H617" s="37">
        <f>+'Minutos MOD por exmen '!C38</f>
        <v>0.13333333333333333</v>
      </c>
      <c r="I617" s="100">
        <f>+'tasa MOD '!I37</f>
        <v>4.4725192584766118</v>
      </c>
      <c r="J617" s="37">
        <f>+I617*H617</f>
        <v>0.59633590113021495</v>
      </c>
      <c r="K617" s="37"/>
      <c r="L617" s="37">
        <f>+J620</f>
        <v>0.59633590113021495</v>
      </c>
      <c r="M617" s="109">
        <f>+'tasa cif'!G9</f>
        <v>0.76985269116945931</v>
      </c>
      <c r="N617" s="37">
        <f>+M617*L617</f>
        <v>0.45909079832606059</v>
      </c>
      <c r="O617" s="504" t="s">
        <v>225</v>
      </c>
      <c r="P617" s="505"/>
      <c r="Q617" s="35">
        <f>+E620</f>
        <v>7.7429999999999999E-2</v>
      </c>
      <c r="R617" s="38"/>
    </row>
    <row r="618" spans="1:18" ht="15.75" x14ac:dyDescent="0.25">
      <c r="A618" s="50"/>
      <c r="B618" s="45" t="s">
        <v>241</v>
      </c>
      <c r="C618" s="396">
        <v>1</v>
      </c>
      <c r="D618" s="51">
        <f>+'kardex reactivos 3'!G201</f>
        <v>2.955E-2</v>
      </c>
      <c r="E618" s="51">
        <f>+D618*C618</f>
        <v>2.955E-2</v>
      </c>
      <c r="F618" s="37"/>
      <c r="G618" s="37"/>
      <c r="H618" s="37"/>
      <c r="I618" s="37"/>
      <c r="J618" s="37"/>
      <c r="K618" s="37"/>
      <c r="L618" s="37"/>
      <c r="M618" s="37"/>
      <c r="N618" s="37"/>
      <c r="O618" s="504" t="s">
        <v>226</v>
      </c>
      <c r="P618" s="505"/>
      <c r="Q618">
        <f>+J620</f>
        <v>0.59633590113021495</v>
      </c>
      <c r="R618" s="38"/>
    </row>
    <row r="619" spans="1:18" ht="15.75" x14ac:dyDescent="0.25">
      <c r="A619" s="50"/>
      <c r="B619" s="37"/>
      <c r="C619" s="37"/>
      <c r="D619" s="51"/>
      <c r="E619" s="51">
        <f t="shared" ref="E619" si="32">+C619*D619</f>
        <v>0</v>
      </c>
      <c r="F619" s="37"/>
      <c r="G619" s="37"/>
      <c r="H619" s="37"/>
      <c r="I619" s="37"/>
      <c r="J619" s="37"/>
      <c r="K619" s="37"/>
      <c r="L619" s="37"/>
      <c r="M619" s="37"/>
      <c r="N619" s="37"/>
      <c r="O619" s="43" t="s">
        <v>227</v>
      </c>
      <c r="P619" s="365"/>
      <c r="Q619">
        <f>+N620</f>
        <v>0.45909079832606059</v>
      </c>
      <c r="R619" s="38"/>
    </row>
    <row r="620" spans="1:18" ht="16.5" thickBot="1" x14ac:dyDescent="0.3">
      <c r="A620" s="489" t="s">
        <v>220</v>
      </c>
      <c r="B620" s="489"/>
      <c r="C620" s="489"/>
      <c r="D620" s="489"/>
      <c r="E620" s="52">
        <f>SUM(E617:E619)</f>
        <v>7.7429999999999999E-2</v>
      </c>
      <c r="F620" s="37"/>
      <c r="G620" s="37"/>
      <c r="H620" s="489" t="s">
        <v>220</v>
      </c>
      <c r="I620" s="489"/>
      <c r="J620" s="53">
        <f>+J617</f>
        <v>0.59633590113021495</v>
      </c>
      <c r="K620" s="37"/>
      <c r="L620" s="37"/>
      <c r="M620" s="37"/>
      <c r="N620" s="37">
        <f>+N617</f>
        <v>0.45909079832606059</v>
      </c>
      <c r="O620" s="490"/>
      <c r="P620" s="491"/>
      <c r="Q620" s="377">
        <f>SUM(Q617:Q619)</f>
        <v>1.1328566994562754</v>
      </c>
      <c r="R620" s="357"/>
    </row>
    <row r="621" spans="1:18" ht="15.75" thickTop="1" x14ac:dyDescent="0.25"/>
    <row r="624" spans="1:18" ht="15.75" x14ac:dyDescent="0.25">
      <c r="A624" s="506" t="s">
        <v>208</v>
      </c>
      <c r="B624" s="507"/>
      <c r="C624" s="507"/>
      <c r="D624" s="507"/>
      <c r="E624" s="507"/>
      <c r="F624" s="507"/>
      <c r="G624" s="507"/>
      <c r="H624" s="507"/>
      <c r="I624" s="507"/>
      <c r="J624" s="507"/>
      <c r="K624" s="507"/>
      <c r="L624" s="507"/>
      <c r="M624" s="507"/>
      <c r="N624" s="507"/>
      <c r="O624" s="507"/>
      <c r="P624" s="507"/>
      <c r="Q624" s="507"/>
      <c r="R624" s="508"/>
    </row>
    <row r="625" spans="1:18" ht="15.75" x14ac:dyDescent="0.25">
      <c r="A625" s="363" t="s">
        <v>209</v>
      </c>
      <c r="B625" s="362"/>
      <c r="C625" s="39"/>
      <c r="D625" s="55"/>
      <c r="E625" s="39"/>
      <c r="F625" s="39"/>
      <c r="G625" s="39"/>
      <c r="H625" s="494"/>
      <c r="I625" s="494"/>
      <c r="J625" s="494"/>
      <c r="K625" s="39"/>
      <c r="L625" s="39"/>
      <c r="M625" s="39"/>
      <c r="N625" s="39"/>
      <c r="O625" s="39"/>
      <c r="P625" s="39"/>
      <c r="Q625" s="39"/>
      <c r="R625" s="42"/>
    </row>
    <row r="626" spans="1:18" ht="15.75" x14ac:dyDescent="0.25">
      <c r="A626" s="363" t="s">
        <v>228</v>
      </c>
      <c r="B626" s="493" t="s">
        <v>242</v>
      </c>
      <c r="C626" s="493"/>
      <c r="D626" s="55"/>
      <c r="E626" s="39"/>
      <c r="F626" s="39"/>
      <c r="G626" s="39"/>
      <c r="H626" s="494"/>
      <c r="I626" s="494"/>
      <c r="J626" s="494"/>
      <c r="K626" s="39"/>
      <c r="L626" s="39"/>
      <c r="M626" s="39"/>
      <c r="N626" s="39"/>
      <c r="O626" s="39"/>
      <c r="P626" s="39"/>
      <c r="Q626" s="39"/>
      <c r="R626" s="42"/>
    </row>
    <row r="627" spans="1:18" ht="15.75" x14ac:dyDescent="0.25">
      <c r="A627" s="492" t="s">
        <v>210</v>
      </c>
      <c r="B627" s="493"/>
      <c r="C627" s="362"/>
      <c r="D627" s="56"/>
      <c r="E627" s="39"/>
      <c r="F627" s="39"/>
      <c r="G627" s="39"/>
      <c r="H627" s="494"/>
      <c r="I627" s="494"/>
      <c r="J627" s="494"/>
      <c r="K627" s="39"/>
      <c r="L627" s="39"/>
      <c r="M627" s="39"/>
      <c r="N627" s="39"/>
      <c r="O627" s="39"/>
      <c r="P627" s="39"/>
      <c r="Q627" s="39"/>
      <c r="R627" s="42"/>
    </row>
    <row r="628" spans="1:18" ht="15.75" x14ac:dyDescent="0.25">
      <c r="A628" s="495" t="s">
        <v>211</v>
      </c>
      <c r="B628" s="494"/>
      <c r="C628" s="494"/>
      <c r="D628" s="55"/>
      <c r="E628" s="39"/>
      <c r="F628" s="39"/>
      <c r="G628" s="39"/>
      <c r="H628" s="494"/>
      <c r="I628" s="494"/>
      <c r="J628" s="494"/>
      <c r="K628" s="39"/>
      <c r="L628" s="39"/>
      <c r="M628" s="39"/>
      <c r="N628" s="39"/>
      <c r="O628" s="39"/>
      <c r="P628" s="39"/>
      <c r="Q628" s="39"/>
      <c r="R628" s="42"/>
    </row>
    <row r="629" spans="1:18" ht="15.75" x14ac:dyDescent="0.25">
      <c r="A629" s="496" t="s">
        <v>212</v>
      </c>
      <c r="B629" s="496"/>
      <c r="C629" s="496"/>
      <c r="D629" s="496"/>
      <c r="E629" s="496"/>
      <c r="F629" s="496" t="s">
        <v>213</v>
      </c>
      <c r="G629" s="496"/>
      <c r="H629" s="496"/>
      <c r="I629" s="496"/>
      <c r="J629" s="496"/>
      <c r="K629" s="497" t="s">
        <v>221</v>
      </c>
      <c r="L629" s="497"/>
      <c r="M629" s="497"/>
      <c r="N629" s="497"/>
      <c r="O629" s="509" t="s">
        <v>222</v>
      </c>
      <c r="P629" s="509"/>
      <c r="Q629" s="509"/>
      <c r="R629" s="577"/>
    </row>
    <row r="630" spans="1:18" ht="32.25" thickBot="1" x14ac:dyDescent="0.3">
      <c r="A630" s="364" t="s">
        <v>0</v>
      </c>
      <c r="B630" s="364" t="s">
        <v>1</v>
      </c>
      <c r="C630" s="364" t="s">
        <v>214</v>
      </c>
      <c r="D630" s="57" t="s">
        <v>215</v>
      </c>
      <c r="E630" s="49" t="s">
        <v>216</v>
      </c>
      <c r="F630" s="364" t="s">
        <v>0</v>
      </c>
      <c r="G630" s="49" t="s">
        <v>217</v>
      </c>
      <c r="H630" s="364" t="s">
        <v>218</v>
      </c>
      <c r="I630" s="49" t="s">
        <v>219</v>
      </c>
      <c r="J630" s="49" t="s">
        <v>216</v>
      </c>
      <c r="K630" s="364" t="s">
        <v>0</v>
      </c>
      <c r="L630" s="49" t="s">
        <v>333</v>
      </c>
      <c r="M630" s="49" t="s">
        <v>224</v>
      </c>
      <c r="N630" s="49" t="s">
        <v>216</v>
      </c>
      <c r="O630" s="578"/>
      <c r="P630" s="578"/>
      <c r="Q630" s="578"/>
      <c r="R630" s="579"/>
    </row>
    <row r="631" spans="1:18" ht="15.75" x14ac:dyDescent="0.25">
      <c r="A631" s="50"/>
      <c r="B631" s="44" t="s">
        <v>86</v>
      </c>
      <c r="C631" s="328">
        <v>0.5</v>
      </c>
      <c r="D631" s="51">
        <f>+'kardex reactivos 1'!G157</f>
        <v>4.1119999999999997E-2</v>
      </c>
      <c r="E631" s="51">
        <f>+D631*C631</f>
        <v>2.0559999999999998E-2</v>
      </c>
      <c r="F631" s="37"/>
      <c r="G631" s="37"/>
      <c r="H631" s="37">
        <f>+'Minutos MOD por exmen '!C42</f>
        <v>0.28333333333333333</v>
      </c>
      <c r="I631" s="100">
        <f>+'tasa MOD '!I37</f>
        <v>4.4725192584766118</v>
      </c>
      <c r="J631" s="37">
        <f>+I631*H631</f>
        <v>1.2672137899017066</v>
      </c>
      <c r="K631" s="37"/>
      <c r="L631" s="37">
        <f>+J638</f>
        <v>1.2672137899017066</v>
      </c>
      <c r="M631" s="109">
        <f>+'tasa cif'!G9</f>
        <v>0.76985269116945931</v>
      </c>
      <c r="N631" s="37">
        <f>+M631*L631</f>
        <v>0.9755679464428787</v>
      </c>
      <c r="O631" s="580" t="s">
        <v>225</v>
      </c>
      <c r="P631" s="580"/>
      <c r="Q631" s="35">
        <f>+E638</f>
        <v>0.45873333333333338</v>
      </c>
      <c r="R631" s="38"/>
    </row>
    <row r="632" spans="1:18" ht="15.75" x14ac:dyDescent="0.25">
      <c r="A632" s="50"/>
      <c r="B632" s="44" t="s">
        <v>159</v>
      </c>
      <c r="C632" s="328">
        <v>1.5</v>
      </c>
      <c r="D632" s="51">
        <f>+'kardex reactivos 3'!G23</f>
        <v>4.4999999999999998E-2</v>
      </c>
      <c r="E632" s="51">
        <f t="shared" ref="E632:E637" si="33">+D632*C632</f>
        <v>6.7500000000000004E-2</v>
      </c>
      <c r="F632" s="37"/>
      <c r="G632" s="37"/>
      <c r="H632" s="37"/>
      <c r="I632" s="37"/>
      <c r="J632" s="37"/>
      <c r="K632" s="37"/>
      <c r="L632" s="37"/>
      <c r="M632" s="37"/>
      <c r="N632" s="37"/>
      <c r="O632" s="505" t="s">
        <v>226</v>
      </c>
      <c r="P632" s="505"/>
      <c r="Q632">
        <f>+J638</f>
        <v>1.2672137899017066</v>
      </c>
      <c r="R632" s="38"/>
    </row>
    <row r="633" spans="1:18" ht="15.75" x14ac:dyDescent="0.25">
      <c r="A633" s="50"/>
      <c r="B633" s="44" t="s">
        <v>229</v>
      </c>
      <c r="C633" s="328">
        <v>1</v>
      </c>
      <c r="D633" s="51">
        <f>+'kardex reactivos 1'!G192</f>
        <v>6.8000000000000005E-2</v>
      </c>
      <c r="E633" s="51">
        <f t="shared" si="33"/>
        <v>6.8000000000000005E-2</v>
      </c>
      <c r="F633" s="37"/>
      <c r="G633" s="37"/>
      <c r="H633" s="37"/>
      <c r="I633" s="37"/>
      <c r="J633" s="37"/>
      <c r="K633" s="37"/>
      <c r="L633" s="37"/>
      <c r="M633" s="37"/>
      <c r="N633" s="37"/>
      <c r="O633" s="43" t="s">
        <v>227</v>
      </c>
      <c r="P633" s="365"/>
      <c r="Q633">
        <f>+N638</f>
        <v>0.9755679464428787</v>
      </c>
      <c r="R633" s="38"/>
    </row>
    <row r="634" spans="1:18" ht="16.5" thickBot="1" x14ac:dyDescent="0.3">
      <c r="A634" s="50"/>
      <c r="B634" s="44" t="s">
        <v>230</v>
      </c>
      <c r="C634" s="328">
        <v>1</v>
      </c>
      <c r="D634" s="51">
        <f>+'kardex reactivos 1'!G215</f>
        <v>6.8000000000000005E-2</v>
      </c>
      <c r="E634" s="51">
        <f t="shared" si="33"/>
        <v>6.8000000000000005E-2</v>
      </c>
      <c r="F634" s="37"/>
      <c r="G634" s="37"/>
      <c r="H634" s="37"/>
      <c r="I634" s="37"/>
      <c r="J634" s="37"/>
      <c r="K634" s="37"/>
      <c r="L634" s="37"/>
      <c r="M634" s="37"/>
      <c r="N634" s="37"/>
      <c r="O634" s="365"/>
      <c r="P634" s="365"/>
      <c r="Q634" s="356">
        <f>SUM(Q631:Q633)</f>
        <v>2.7015150696779187</v>
      </c>
      <c r="R634" s="38"/>
    </row>
    <row r="635" spans="1:18" ht="16.5" thickTop="1" x14ac:dyDescent="0.25">
      <c r="A635" s="50"/>
      <c r="B635" s="44" t="s">
        <v>165</v>
      </c>
      <c r="C635" s="328">
        <v>3</v>
      </c>
      <c r="D635" s="51">
        <f>+'kardex reactivos 3'!G89</f>
        <v>3.56E-2</v>
      </c>
      <c r="E635" s="51">
        <f t="shared" si="33"/>
        <v>0.10680000000000001</v>
      </c>
      <c r="F635" s="37"/>
      <c r="G635" s="37"/>
      <c r="H635" s="37"/>
      <c r="I635" s="37"/>
      <c r="J635" s="37"/>
      <c r="K635" s="37"/>
      <c r="L635" s="37"/>
      <c r="M635" s="37"/>
      <c r="N635" s="37"/>
      <c r="O635" s="365"/>
      <c r="P635" s="365"/>
      <c r="R635" s="38"/>
    </row>
    <row r="636" spans="1:18" ht="31.5" x14ac:dyDescent="0.25">
      <c r="A636" s="50"/>
      <c r="B636" s="46" t="s">
        <v>167</v>
      </c>
      <c r="C636" s="329">
        <v>3</v>
      </c>
      <c r="D636" s="51">
        <f>+'kardex reactivos 3'!G104</f>
        <v>3.56E-2</v>
      </c>
      <c r="E636" s="51">
        <f t="shared" si="33"/>
        <v>0.10680000000000001</v>
      </c>
      <c r="F636" s="37"/>
      <c r="G636" s="37"/>
      <c r="H636" s="37"/>
      <c r="I636" s="37"/>
      <c r="J636" s="37"/>
      <c r="K636" s="37"/>
      <c r="L636" s="37"/>
      <c r="M636" s="37"/>
      <c r="N636" s="37"/>
      <c r="O636" s="365"/>
      <c r="P636" s="365"/>
      <c r="R636" s="38"/>
    </row>
    <row r="637" spans="1:18" ht="15.75" x14ac:dyDescent="0.25">
      <c r="A637" s="50"/>
      <c r="B637" s="44" t="s">
        <v>93</v>
      </c>
      <c r="C637" s="328">
        <v>0.5</v>
      </c>
      <c r="D637" s="51">
        <f>+'kardex reactivos 1'!G265</f>
        <v>4.2146666666666666E-2</v>
      </c>
      <c r="E637" s="51">
        <f t="shared" si="33"/>
        <v>2.1073333333333333E-2</v>
      </c>
      <c r="F637" s="37"/>
      <c r="G637" s="37"/>
      <c r="H637" s="37"/>
      <c r="I637" s="37"/>
      <c r="J637" s="37"/>
      <c r="K637" s="37"/>
      <c r="L637" s="37"/>
      <c r="M637" s="37"/>
      <c r="N637" s="37"/>
      <c r="O637" s="365"/>
      <c r="P637" s="365"/>
      <c r="R637" s="38"/>
    </row>
    <row r="638" spans="1:18" ht="15.75" x14ac:dyDescent="0.25">
      <c r="A638" s="489" t="s">
        <v>220</v>
      </c>
      <c r="B638" s="489"/>
      <c r="C638" s="489"/>
      <c r="D638" s="489"/>
      <c r="E638" s="52">
        <f>SUM(E631:E637)</f>
        <v>0.45873333333333338</v>
      </c>
      <c r="F638" s="37"/>
      <c r="G638" s="37"/>
      <c r="H638" s="489" t="s">
        <v>220</v>
      </c>
      <c r="I638" s="489"/>
      <c r="J638" s="53">
        <f>+J631</f>
        <v>1.2672137899017066</v>
      </c>
      <c r="K638" s="37"/>
      <c r="L638" s="37"/>
      <c r="M638" s="37"/>
      <c r="N638" s="37">
        <f>+N631</f>
        <v>0.9755679464428787</v>
      </c>
      <c r="O638" s="490"/>
      <c r="P638" s="491"/>
      <c r="Q638" s="372"/>
      <c r="R638" s="357"/>
    </row>
    <row r="642" spans="1:18" ht="15.75" x14ac:dyDescent="0.25">
      <c r="A642" s="506" t="s">
        <v>208</v>
      </c>
      <c r="B642" s="507"/>
      <c r="C642" s="507"/>
      <c r="D642" s="507"/>
      <c r="E642" s="507"/>
      <c r="F642" s="507"/>
      <c r="G642" s="507"/>
      <c r="H642" s="507"/>
      <c r="I642" s="507"/>
      <c r="J642" s="507"/>
      <c r="K642" s="507"/>
      <c r="L642" s="507"/>
      <c r="M642" s="507"/>
      <c r="N642" s="507"/>
      <c r="O642" s="507"/>
      <c r="P642" s="507"/>
      <c r="Q642" s="507"/>
      <c r="R642" s="508"/>
    </row>
    <row r="643" spans="1:18" ht="15.75" x14ac:dyDescent="0.25">
      <c r="A643" s="363" t="s">
        <v>209</v>
      </c>
      <c r="B643" s="362"/>
      <c r="C643" s="39"/>
      <c r="D643" s="55"/>
      <c r="E643" s="39"/>
      <c r="F643" s="39"/>
      <c r="G643" s="39"/>
      <c r="H643" s="494"/>
      <c r="I643" s="494"/>
      <c r="J643" s="494"/>
      <c r="K643" s="39"/>
      <c r="L643" s="39"/>
      <c r="M643" s="39"/>
      <c r="N643" s="39"/>
      <c r="O643" s="39"/>
      <c r="P643" s="39"/>
      <c r="Q643" s="39"/>
      <c r="R643" s="42"/>
    </row>
    <row r="644" spans="1:18" ht="15.75" x14ac:dyDescent="0.25">
      <c r="A644" s="363" t="s">
        <v>228</v>
      </c>
      <c r="B644" s="493" t="s">
        <v>237</v>
      </c>
      <c r="C644" s="493"/>
      <c r="D644" s="55"/>
      <c r="E644" s="39"/>
      <c r="F644" s="39"/>
      <c r="G644" s="39"/>
      <c r="H644" s="494"/>
      <c r="I644" s="494"/>
      <c r="J644" s="494"/>
      <c r="K644" s="39"/>
      <c r="L644" s="39"/>
      <c r="M644" s="39"/>
      <c r="N644" s="39"/>
      <c r="O644" s="39"/>
      <c r="P644" s="39"/>
      <c r="Q644" s="39"/>
      <c r="R644" s="42"/>
    </row>
    <row r="645" spans="1:18" ht="15.75" x14ac:dyDescent="0.25">
      <c r="A645" s="492" t="s">
        <v>210</v>
      </c>
      <c r="B645" s="493"/>
      <c r="C645" s="362"/>
      <c r="D645" s="56"/>
      <c r="E645" s="39"/>
      <c r="F645" s="39"/>
      <c r="G645" s="39"/>
      <c r="H645" s="494"/>
      <c r="I645" s="494"/>
      <c r="J645" s="494"/>
      <c r="K645" s="39"/>
      <c r="L645" s="39"/>
      <c r="M645" s="39"/>
      <c r="N645" s="39"/>
      <c r="O645" s="39"/>
      <c r="P645" s="39"/>
      <c r="Q645" s="39"/>
      <c r="R645" s="42"/>
    </row>
    <row r="646" spans="1:18" ht="15.75" x14ac:dyDescent="0.25">
      <c r="A646" s="495" t="s">
        <v>211</v>
      </c>
      <c r="B646" s="494"/>
      <c r="C646" s="494"/>
      <c r="D646" s="55"/>
      <c r="E646" s="39"/>
      <c r="F646" s="39"/>
      <c r="G646" s="39"/>
      <c r="H646" s="494"/>
      <c r="I646" s="494"/>
      <c r="J646" s="494"/>
      <c r="K646" s="39"/>
      <c r="L646" s="39"/>
      <c r="M646" s="39"/>
      <c r="N646" s="39"/>
      <c r="O646" s="39"/>
      <c r="P646" s="39"/>
      <c r="Q646" s="39"/>
      <c r="R646" s="42"/>
    </row>
    <row r="647" spans="1:18" ht="15.75" customHeight="1" x14ac:dyDescent="0.25">
      <c r="A647" s="496" t="s">
        <v>212</v>
      </c>
      <c r="B647" s="496"/>
      <c r="C647" s="496"/>
      <c r="D647" s="496"/>
      <c r="E647" s="496"/>
      <c r="F647" s="496" t="s">
        <v>213</v>
      </c>
      <c r="G647" s="496"/>
      <c r="H647" s="496"/>
      <c r="I647" s="496"/>
      <c r="J647" s="496"/>
      <c r="K647" s="497" t="s">
        <v>221</v>
      </c>
      <c r="L647" s="497"/>
      <c r="M647" s="497"/>
      <c r="N647" s="497"/>
      <c r="O647" s="497" t="s">
        <v>222</v>
      </c>
      <c r="P647" s="497"/>
      <c r="Q647" s="497"/>
      <c r="R647" s="497"/>
    </row>
    <row r="648" spans="1:18" ht="31.5" x14ac:dyDescent="0.25">
      <c r="A648" s="364" t="s">
        <v>0</v>
      </c>
      <c r="B648" s="364" t="s">
        <v>1</v>
      </c>
      <c r="C648" s="364" t="s">
        <v>214</v>
      </c>
      <c r="D648" s="57" t="s">
        <v>215</v>
      </c>
      <c r="E648" s="49" t="s">
        <v>216</v>
      </c>
      <c r="F648" s="364" t="s">
        <v>0</v>
      </c>
      <c r="G648" s="49" t="s">
        <v>217</v>
      </c>
      <c r="H648" s="364" t="s">
        <v>218</v>
      </c>
      <c r="I648" s="49" t="s">
        <v>219</v>
      </c>
      <c r="J648" s="49" t="s">
        <v>216</v>
      </c>
      <c r="K648" s="364" t="s">
        <v>0</v>
      </c>
      <c r="L648" s="49" t="s">
        <v>333</v>
      </c>
      <c r="M648" s="49" t="s">
        <v>224</v>
      </c>
      <c r="N648" s="49" t="s">
        <v>216</v>
      </c>
      <c r="O648" s="497"/>
      <c r="P648" s="497"/>
      <c r="Q648" s="497"/>
      <c r="R648" s="497"/>
    </row>
    <row r="649" spans="1:18" ht="15.75" x14ac:dyDescent="0.25">
      <c r="A649" s="50"/>
      <c r="B649" s="44" t="s">
        <v>136</v>
      </c>
      <c r="C649" s="396">
        <v>1</v>
      </c>
      <c r="D649" s="51">
        <f>+'kardex reactivos 2'!G263</f>
        <v>4.4999999999999998E-2</v>
      </c>
      <c r="E649" s="51">
        <f>+C649*D649</f>
        <v>4.4999999999999998E-2</v>
      </c>
      <c r="F649" s="37"/>
      <c r="G649" s="37"/>
      <c r="H649" s="37">
        <f>+'Minutos MOD por exmen '!C39</f>
        <v>0.25</v>
      </c>
      <c r="I649" s="100">
        <f>+'tasa MOD '!I37</f>
        <v>4.4725192584766118</v>
      </c>
      <c r="J649" s="37">
        <f>+I649*H649</f>
        <v>1.118129814619153</v>
      </c>
      <c r="K649" s="37"/>
      <c r="L649" s="37">
        <f>+J657</f>
        <v>1.118129814619153</v>
      </c>
      <c r="M649" s="109">
        <f>+'tasa cif'!G9</f>
        <v>0.76985269116945931</v>
      </c>
      <c r="N649" s="37">
        <f>+M649*L649</f>
        <v>0.86079524686136355</v>
      </c>
      <c r="O649" s="505" t="s">
        <v>225</v>
      </c>
      <c r="P649" s="505"/>
      <c r="Q649" s="55">
        <f>+E657</f>
        <v>0.37374333333333332</v>
      </c>
      <c r="R649" s="278"/>
    </row>
    <row r="650" spans="1:18" ht="15.75" x14ac:dyDescent="0.25">
      <c r="A650" s="50"/>
      <c r="B650" s="45" t="s">
        <v>138</v>
      </c>
      <c r="C650" s="396">
        <v>1</v>
      </c>
      <c r="D650" s="51">
        <f>+'kardex reactivos 2'!G277</f>
        <v>6.2E-2</v>
      </c>
      <c r="E650" s="51">
        <f>+C650*D650</f>
        <v>6.2E-2</v>
      </c>
      <c r="F650" s="37"/>
      <c r="G650" s="37"/>
      <c r="H650" s="37"/>
      <c r="I650" s="37"/>
      <c r="J650" s="37"/>
      <c r="K650" s="37"/>
      <c r="L650" s="37"/>
      <c r="M650" s="37"/>
      <c r="N650" s="37"/>
      <c r="O650" s="505" t="s">
        <v>226</v>
      </c>
      <c r="P650" s="505"/>
      <c r="Q650" s="39">
        <f>+J657</f>
        <v>1.118129814619153</v>
      </c>
      <c r="R650" s="233"/>
    </row>
    <row r="651" spans="1:18" ht="15.75" x14ac:dyDescent="0.25">
      <c r="A651" s="50"/>
      <c r="B651" s="46" t="s">
        <v>139</v>
      </c>
      <c r="C651" s="396">
        <v>1</v>
      </c>
      <c r="D651" s="51">
        <f>+'kardex reactivos 2'!G296</f>
        <v>4.931E-2</v>
      </c>
      <c r="E651" s="51">
        <f>+C651*D651</f>
        <v>4.931E-2</v>
      </c>
      <c r="F651" s="37"/>
      <c r="G651" s="37"/>
      <c r="H651" s="37"/>
      <c r="I651" s="37"/>
      <c r="J651" s="37"/>
      <c r="K651" s="37"/>
      <c r="L651" s="37"/>
      <c r="M651" s="37"/>
      <c r="N651" s="37"/>
      <c r="O651" s="378" t="s">
        <v>227</v>
      </c>
      <c r="P651" s="370"/>
      <c r="Q651" s="39">
        <f>+N657</f>
        <v>0.86079524686136355</v>
      </c>
      <c r="R651" s="233"/>
    </row>
    <row r="652" spans="1:18" ht="16.5" thickBot="1" x14ac:dyDescent="0.3">
      <c r="A652" s="50"/>
      <c r="B652" s="44" t="s">
        <v>140</v>
      </c>
      <c r="C652" s="396">
        <v>1</v>
      </c>
      <c r="D652" s="51">
        <f>+'kardex reactivos 2'!G309</f>
        <v>6.5000000000000002E-2</v>
      </c>
      <c r="E652" s="51">
        <f>+C652*D652</f>
        <v>6.5000000000000002E-2</v>
      </c>
      <c r="F652" s="37"/>
      <c r="G652" s="37"/>
      <c r="H652" s="37"/>
      <c r="I652" s="37"/>
      <c r="J652" s="37"/>
      <c r="K652" s="37"/>
      <c r="L652" s="37"/>
      <c r="M652" s="37"/>
      <c r="N652" s="37"/>
      <c r="O652" s="488" t="s">
        <v>220</v>
      </c>
      <c r="P652" s="488"/>
      <c r="Q652" s="356">
        <f>SUM(Q649:Q651)</f>
        <v>2.3526683948138496</v>
      </c>
      <c r="R652" s="233"/>
    </row>
    <row r="653" spans="1:18" ht="16.5" thickTop="1" x14ac:dyDescent="0.25">
      <c r="A653" s="50"/>
      <c r="B653" s="44" t="s">
        <v>141</v>
      </c>
      <c r="C653" s="396">
        <v>1</v>
      </c>
      <c r="D653" s="51">
        <f>+'kardex reactivos 2'!G323</f>
        <v>3.9E-2</v>
      </c>
      <c r="E653" s="51">
        <f t="shared" ref="E653:E656" si="34">+C653*D653</f>
        <v>3.9E-2</v>
      </c>
      <c r="F653" s="37"/>
      <c r="G653" s="37"/>
      <c r="H653" s="37"/>
      <c r="I653" s="37"/>
      <c r="J653" s="37"/>
      <c r="K653" s="37"/>
      <c r="L653" s="37"/>
      <c r="M653" s="37"/>
      <c r="N653" s="37"/>
      <c r="O653" s="370"/>
      <c r="P653" s="370"/>
      <c r="Q653" s="39"/>
      <c r="R653" s="233"/>
    </row>
    <row r="654" spans="1:18" ht="15.75" x14ac:dyDescent="0.25">
      <c r="A654" s="50"/>
      <c r="B654" s="46" t="s">
        <v>142</v>
      </c>
      <c r="C654" s="396">
        <v>1</v>
      </c>
      <c r="D654" s="51">
        <f>+'kardex reactivos 2'!G338</f>
        <v>5.5E-2</v>
      </c>
      <c r="E654" s="51">
        <f t="shared" si="34"/>
        <v>5.5E-2</v>
      </c>
      <c r="F654" s="37"/>
      <c r="G654" s="37"/>
      <c r="H654" s="37"/>
      <c r="I654" s="37"/>
      <c r="J654" s="37"/>
      <c r="K654" s="37"/>
      <c r="L654" s="37"/>
      <c r="M654" s="37"/>
      <c r="N654" s="37"/>
      <c r="O654" s="370"/>
      <c r="P654" s="370"/>
      <c r="Q654" s="39"/>
      <c r="R654" s="233"/>
    </row>
    <row r="655" spans="1:18" ht="15.75" x14ac:dyDescent="0.25">
      <c r="A655" s="50"/>
      <c r="B655" s="46" t="s">
        <v>143</v>
      </c>
      <c r="C655" s="396">
        <v>1</v>
      </c>
      <c r="D655" s="51">
        <f>+'kardex reactivos 2'!G353</f>
        <v>3.7359999999999997E-2</v>
      </c>
      <c r="E655" s="51">
        <f t="shared" si="34"/>
        <v>3.7359999999999997E-2</v>
      </c>
      <c r="F655" s="37"/>
      <c r="G655" s="37"/>
      <c r="H655" s="37"/>
      <c r="I655" s="37"/>
      <c r="J655" s="37"/>
      <c r="K655" s="37"/>
      <c r="L655" s="37"/>
      <c r="M655" s="37"/>
      <c r="N655" s="37"/>
      <c r="O655" s="370"/>
      <c r="P655" s="370"/>
      <c r="Q655" s="39"/>
      <c r="R655" s="233"/>
    </row>
    <row r="656" spans="1:18" ht="15.75" x14ac:dyDescent="0.25">
      <c r="A656" s="50"/>
      <c r="B656" s="46" t="s">
        <v>238</v>
      </c>
      <c r="C656" s="396">
        <v>0.5</v>
      </c>
      <c r="D656" s="51">
        <f>+'kardex reactivos 1'!G266</f>
        <v>4.2146666666666666E-2</v>
      </c>
      <c r="E656" s="51">
        <f t="shared" si="34"/>
        <v>2.1073333333333333E-2</v>
      </c>
      <c r="F656" s="37"/>
      <c r="G656" s="37"/>
      <c r="H656" s="37"/>
      <c r="I656" s="37"/>
      <c r="J656" s="37"/>
      <c r="K656" s="37"/>
      <c r="L656" s="37"/>
      <c r="M656" s="37"/>
      <c r="N656" s="37"/>
      <c r="O656" s="370"/>
      <c r="P656" s="370"/>
      <c r="Q656" s="39"/>
      <c r="R656" s="233"/>
    </row>
    <row r="657" spans="1:18" ht="15.75" x14ac:dyDescent="0.25">
      <c r="A657" s="489" t="s">
        <v>220</v>
      </c>
      <c r="B657" s="489"/>
      <c r="C657" s="489"/>
      <c r="D657" s="489"/>
      <c r="E657" s="52">
        <f>SUM(E649:E656)</f>
        <v>0.37374333333333332</v>
      </c>
      <c r="F657" s="37"/>
      <c r="G657" s="37"/>
      <c r="H657" s="489" t="s">
        <v>220</v>
      </c>
      <c r="I657" s="489"/>
      <c r="J657" s="53">
        <f>+J649</f>
        <v>1.118129814619153</v>
      </c>
      <c r="K657" s="37"/>
      <c r="L657" s="37"/>
      <c r="M657" s="37"/>
      <c r="N657" s="37">
        <f>+N649</f>
        <v>0.86079524686136355</v>
      </c>
      <c r="O657" s="490"/>
      <c r="P657" s="491"/>
      <c r="Q657" s="372"/>
      <c r="R657" s="280"/>
    </row>
    <row r="661" spans="1:18" ht="15.75" x14ac:dyDescent="0.25">
      <c r="A661" s="506" t="s">
        <v>208</v>
      </c>
      <c r="B661" s="507"/>
      <c r="C661" s="507"/>
      <c r="D661" s="507"/>
      <c r="E661" s="507"/>
      <c r="F661" s="507"/>
      <c r="G661" s="507"/>
      <c r="H661" s="507"/>
      <c r="I661" s="507"/>
      <c r="J661" s="507"/>
      <c r="K661" s="507"/>
      <c r="L661" s="507"/>
      <c r="M661" s="507"/>
      <c r="N661" s="507"/>
      <c r="O661" s="507"/>
      <c r="P661" s="507"/>
      <c r="Q661" s="507"/>
      <c r="R661" s="508"/>
    </row>
    <row r="662" spans="1:18" ht="15.75" x14ac:dyDescent="0.25">
      <c r="A662" s="363" t="s">
        <v>209</v>
      </c>
      <c r="B662" s="362"/>
      <c r="C662" s="39"/>
      <c r="D662" s="55"/>
      <c r="E662" s="39"/>
      <c r="F662" s="39"/>
      <c r="G662" s="39"/>
      <c r="H662" s="494"/>
      <c r="I662" s="494"/>
      <c r="J662" s="494"/>
      <c r="K662" s="39"/>
      <c r="L662" s="39"/>
      <c r="M662" s="39"/>
      <c r="N662" s="39"/>
      <c r="O662" s="39"/>
      <c r="P662" s="39"/>
      <c r="Q662" s="39"/>
      <c r="R662" s="42"/>
    </row>
    <row r="663" spans="1:18" ht="15.75" x14ac:dyDescent="0.25">
      <c r="A663" s="363" t="s">
        <v>228</v>
      </c>
      <c r="B663" s="493" t="s">
        <v>239</v>
      </c>
      <c r="C663" s="493"/>
      <c r="D663" s="55"/>
      <c r="E663" s="39"/>
      <c r="F663" s="39"/>
      <c r="G663" s="39"/>
      <c r="H663" s="494"/>
      <c r="I663" s="494"/>
      <c r="J663" s="494"/>
      <c r="K663" s="39"/>
      <c r="L663" s="39"/>
      <c r="M663" s="39"/>
      <c r="N663" s="39"/>
      <c r="O663" s="39"/>
      <c r="P663" s="39"/>
      <c r="Q663" s="39"/>
      <c r="R663" s="42"/>
    </row>
    <row r="664" spans="1:18" ht="15.75" x14ac:dyDescent="0.25">
      <c r="A664" s="492" t="s">
        <v>210</v>
      </c>
      <c r="B664" s="493"/>
      <c r="C664" s="362"/>
      <c r="D664" s="56"/>
      <c r="E664" s="39"/>
      <c r="F664" s="39"/>
      <c r="G664" s="39"/>
      <c r="H664" s="494"/>
      <c r="I664" s="494"/>
      <c r="J664" s="494"/>
      <c r="K664" s="39"/>
      <c r="L664" s="39"/>
      <c r="M664" s="39"/>
      <c r="N664" s="39"/>
      <c r="O664" s="39"/>
      <c r="P664" s="39"/>
      <c r="Q664" s="39"/>
      <c r="R664" s="42"/>
    </row>
    <row r="665" spans="1:18" ht="15.75" x14ac:dyDescent="0.25">
      <c r="A665" s="495" t="s">
        <v>211</v>
      </c>
      <c r="B665" s="494"/>
      <c r="C665" s="494"/>
      <c r="D665" s="55"/>
      <c r="E665" s="39"/>
      <c r="F665" s="39"/>
      <c r="G665" s="39"/>
      <c r="H665" s="494"/>
      <c r="I665" s="494"/>
      <c r="J665" s="494"/>
      <c r="K665" s="39"/>
      <c r="L665" s="39"/>
      <c r="M665" s="39"/>
      <c r="N665" s="39"/>
      <c r="O665" s="39"/>
      <c r="P665" s="39"/>
      <c r="Q665" s="39"/>
      <c r="R665" s="42"/>
    </row>
    <row r="666" spans="1:18" ht="15.75" x14ac:dyDescent="0.25">
      <c r="A666" s="496" t="s">
        <v>212</v>
      </c>
      <c r="B666" s="496"/>
      <c r="C666" s="496"/>
      <c r="D666" s="496"/>
      <c r="E666" s="496"/>
      <c r="F666" s="496" t="s">
        <v>213</v>
      </c>
      <c r="G666" s="496"/>
      <c r="H666" s="496"/>
      <c r="I666" s="496"/>
      <c r="J666" s="496"/>
      <c r="K666" s="497" t="s">
        <v>221</v>
      </c>
      <c r="L666" s="497"/>
      <c r="M666" s="497"/>
      <c r="N666" s="497"/>
      <c r="O666" s="496" t="s">
        <v>222</v>
      </c>
      <c r="P666" s="496"/>
      <c r="Q666" s="496"/>
      <c r="R666" s="496"/>
    </row>
    <row r="667" spans="1:18" ht="31.5" x14ac:dyDescent="0.25">
      <c r="A667" s="364" t="s">
        <v>0</v>
      </c>
      <c r="B667" s="364" t="s">
        <v>1</v>
      </c>
      <c r="C667" s="364" t="s">
        <v>214</v>
      </c>
      <c r="D667" s="57" t="s">
        <v>215</v>
      </c>
      <c r="E667" s="49" t="s">
        <v>216</v>
      </c>
      <c r="F667" s="364" t="s">
        <v>0</v>
      </c>
      <c r="G667" s="49" t="s">
        <v>217</v>
      </c>
      <c r="H667" s="364" t="s">
        <v>218</v>
      </c>
      <c r="I667" s="49" t="s">
        <v>219</v>
      </c>
      <c r="J667" s="49" t="s">
        <v>216</v>
      </c>
      <c r="K667" s="364" t="s">
        <v>0</v>
      </c>
      <c r="L667" s="49" t="s">
        <v>333</v>
      </c>
      <c r="M667" s="49" t="s">
        <v>224</v>
      </c>
      <c r="N667" s="49" t="s">
        <v>216</v>
      </c>
      <c r="O667" s="496"/>
      <c r="P667" s="496"/>
      <c r="Q667" s="496"/>
      <c r="R667" s="496"/>
    </row>
    <row r="668" spans="1:18" ht="15.75" x14ac:dyDescent="0.25">
      <c r="A668" s="50"/>
      <c r="B668" s="44" t="s">
        <v>86</v>
      </c>
      <c r="C668" s="396">
        <v>0.5</v>
      </c>
      <c r="D668" s="51">
        <f>+'kardex reactivos 1'!G158</f>
        <v>4.1119999999999997E-2</v>
      </c>
      <c r="E668" s="51">
        <f>+C668*D668</f>
        <v>2.0559999999999998E-2</v>
      </c>
      <c r="F668" s="37"/>
      <c r="G668" s="37"/>
      <c r="H668" s="37">
        <f>+'Minutos MOD por exmen '!C41</f>
        <v>0.58333333333333337</v>
      </c>
      <c r="I668" s="100">
        <f>+'tasa MOD '!I37</f>
        <v>4.4725192584766118</v>
      </c>
      <c r="J668" s="37">
        <f>+I668*H668</f>
        <v>2.6089695674446904</v>
      </c>
      <c r="K668" s="37"/>
      <c r="L668" s="37">
        <f>+J675</f>
        <v>2.6089695674446904</v>
      </c>
      <c r="M668" s="109">
        <f>+'tasa cif'!G9</f>
        <v>0.76985269116945931</v>
      </c>
      <c r="N668" s="375">
        <f>+M668*L668</f>
        <v>2.008522242676515</v>
      </c>
      <c r="O668" s="502" t="s">
        <v>225</v>
      </c>
      <c r="P668" s="503"/>
      <c r="Q668" s="277">
        <f>+E675</f>
        <v>0.47275833333333339</v>
      </c>
      <c r="R668" s="278"/>
    </row>
    <row r="669" spans="1:18" ht="15.75" x14ac:dyDescent="0.25">
      <c r="A669" s="50"/>
      <c r="B669" s="45" t="s">
        <v>229</v>
      </c>
      <c r="C669" s="396">
        <v>1</v>
      </c>
      <c r="D669" s="51">
        <f>+'kardex reactivos 1'!G193</f>
        <v>6.8000000000000005E-2</v>
      </c>
      <c r="E669" s="51">
        <f>+C669*D669</f>
        <v>6.8000000000000005E-2</v>
      </c>
      <c r="F669" s="37"/>
      <c r="G669" s="37"/>
      <c r="H669" s="37"/>
      <c r="I669" s="37"/>
      <c r="J669" s="37"/>
      <c r="K669" s="37"/>
      <c r="L669" s="37"/>
      <c r="M669" s="37"/>
      <c r="N669" s="375"/>
      <c r="O669" s="504" t="s">
        <v>226</v>
      </c>
      <c r="P669" s="505"/>
      <c r="Q669" s="39">
        <f>+J675</f>
        <v>2.6089695674446904</v>
      </c>
      <c r="R669" s="233"/>
    </row>
    <row r="670" spans="1:18" ht="15.75" x14ac:dyDescent="0.25">
      <c r="A670" s="50"/>
      <c r="B670" s="46" t="s">
        <v>230</v>
      </c>
      <c r="C670" s="396">
        <v>1</v>
      </c>
      <c r="D670" s="51">
        <f>+'kardex reactivos 1'!G216</f>
        <v>6.8000000000000005E-2</v>
      </c>
      <c r="E670" s="51">
        <f>+C670*D670</f>
        <v>6.8000000000000005E-2</v>
      </c>
      <c r="F670" s="37"/>
      <c r="G670" s="37"/>
      <c r="H670" s="37"/>
      <c r="I670" s="37"/>
      <c r="J670" s="37"/>
      <c r="K670" s="37"/>
      <c r="L670" s="37"/>
      <c r="M670" s="37"/>
      <c r="N670" s="375"/>
      <c r="O670" s="279" t="s">
        <v>227</v>
      </c>
      <c r="P670" s="370"/>
      <c r="Q670" s="39">
        <f>+N675</f>
        <v>2.008522242676515</v>
      </c>
      <c r="R670" s="233"/>
    </row>
    <row r="671" spans="1:18" ht="16.5" thickBot="1" x14ac:dyDescent="0.3">
      <c r="A671" s="50"/>
      <c r="B671" s="44" t="s">
        <v>147</v>
      </c>
      <c r="C671" s="396">
        <v>1.5</v>
      </c>
      <c r="D671" s="51">
        <f>+'kardex reactivos 2'!G388</f>
        <v>3.3210000000000003E-2</v>
      </c>
      <c r="E671" s="51">
        <f>+C671*D671</f>
        <v>4.9815000000000005E-2</v>
      </c>
      <c r="F671" s="37"/>
      <c r="G671" s="37"/>
      <c r="H671" s="37"/>
      <c r="I671" s="37"/>
      <c r="J671" s="37"/>
      <c r="K671" s="37"/>
      <c r="L671" s="37"/>
      <c r="M671" s="37"/>
      <c r="N671" s="375"/>
      <c r="O671" s="487" t="s">
        <v>220</v>
      </c>
      <c r="P671" s="488"/>
      <c r="Q671" s="356">
        <f>SUM(Q668:Q670)</f>
        <v>5.0902501434545382</v>
      </c>
      <c r="R671" s="233"/>
    </row>
    <row r="672" spans="1:18" ht="16.5" thickTop="1" x14ac:dyDescent="0.25">
      <c r="A672" s="50"/>
      <c r="B672" s="44" t="s">
        <v>148</v>
      </c>
      <c r="C672" s="396">
        <v>3</v>
      </c>
      <c r="D672" s="51">
        <f>+'kardex reactivos 2'!G402</f>
        <v>3.3270000000000001E-2</v>
      </c>
      <c r="E672" s="51">
        <f t="shared" ref="E672:E674" si="35">+C672*D672</f>
        <v>9.981000000000001E-2</v>
      </c>
      <c r="F672" s="37"/>
      <c r="G672" s="37"/>
      <c r="H672" s="37"/>
      <c r="I672" s="37"/>
      <c r="J672" s="37"/>
      <c r="K672" s="37"/>
      <c r="L672" s="37"/>
      <c r="M672" s="37"/>
      <c r="N672" s="375"/>
      <c r="O672" s="371"/>
      <c r="P672" s="370"/>
      <c r="Q672" s="39"/>
      <c r="R672" s="233"/>
    </row>
    <row r="673" spans="1:18" ht="15.75" x14ac:dyDescent="0.25">
      <c r="A673" s="50"/>
      <c r="B673" s="46" t="s">
        <v>149</v>
      </c>
      <c r="C673" s="396">
        <v>3</v>
      </c>
      <c r="D673" s="51">
        <f>+'kardex reactivos 2'!G416</f>
        <v>4.8500000000000001E-2</v>
      </c>
      <c r="E673" s="51">
        <f t="shared" si="35"/>
        <v>0.14550000000000002</v>
      </c>
      <c r="F673" s="37"/>
      <c r="G673" s="37"/>
      <c r="H673" s="37"/>
      <c r="I673" s="37"/>
      <c r="J673" s="37"/>
      <c r="K673" s="37"/>
      <c r="L673" s="37"/>
      <c r="M673" s="37"/>
      <c r="N673" s="375"/>
      <c r="O673" s="371"/>
      <c r="P673" s="370"/>
      <c r="Q673" s="39"/>
      <c r="R673" s="233"/>
    </row>
    <row r="674" spans="1:18" ht="15.75" x14ac:dyDescent="0.25">
      <c r="A674" s="50"/>
      <c r="B674" s="46" t="s">
        <v>93</v>
      </c>
      <c r="C674" s="396">
        <v>0.5</v>
      </c>
      <c r="D674" s="51">
        <f>+'kardex reactivos 1'!G267</f>
        <v>4.2146666666666666E-2</v>
      </c>
      <c r="E674" s="51">
        <f t="shared" si="35"/>
        <v>2.1073333333333333E-2</v>
      </c>
      <c r="F674" s="37"/>
      <c r="G674" s="37"/>
      <c r="H674" s="37"/>
      <c r="I674" s="37"/>
      <c r="J674" s="37"/>
      <c r="K674" s="37"/>
      <c r="L674" s="37"/>
      <c r="M674" s="37"/>
      <c r="N674" s="375"/>
      <c r="O674" s="371"/>
      <c r="P674" s="370"/>
      <c r="Q674" s="39"/>
      <c r="R674" s="233"/>
    </row>
    <row r="675" spans="1:18" ht="15.75" x14ac:dyDescent="0.25">
      <c r="A675" s="489" t="s">
        <v>220</v>
      </c>
      <c r="B675" s="489"/>
      <c r="C675" s="489"/>
      <c r="D675" s="489"/>
      <c r="E675" s="52">
        <f>SUM(E668:E674)</f>
        <v>0.47275833333333339</v>
      </c>
      <c r="F675" s="37"/>
      <c r="G675" s="37"/>
      <c r="H675" s="489" t="s">
        <v>220</v>
      </c>
      <c r="I675" s="489"/>
      <c r="J675" s="53">
        <f>+J668</f>
        <v>2.6089695674446904</v>
      </c>
      <c r="K675" s="37"/>
      <c r="L675" s="37"/>
      <c r="M675" s="37"/>
      <c r="N675" s="375">
        <f>+N668</f>
        <v>2.008522242676515</v>
      </c>
      <c r="O675" s="490"/>
      <c r="P675" s="491"/>
      <c r="Q675" s="372"/>
      <c r="R675" s="280"/>
    </row>
    <row r="678" spans="1:18" ht="15.75" x14ac:dyDescent="0.25">
      <c r="A678" s="506" t="s">
        <v>208</v>
      </c>
      <c r="B678" s="507"/>
      <c r="C678" s="507"/>
      <c r="D678" s="507"/>
      <c r="E678" s="507"/>
      <c r="F678" s="507"/>
      <c r="G678" s="507"/>
      <c r="H678" s="507"/>
      <c r="I678" s="507"/>
      <c r="J678" s="507"/>
      <c r="K678" s="507"/>
      <c r="L678" s="507"/>
      <c r="M678" s="507"/>
      <c r="N678" s="507"/>
      <c r="O678" s="507"/>
      <c r="P678" s="507"/>
      <c r="Q678" s="507"/>
      <c r="R678" s="508"/>
    </row>
    <row r="679" spans="1:18" ht="15.75" x14ac:dyDescent="0.25">
      <c r="A679" s="363" t="s">
        <v>209</v>
      </c>
      <c r="B679" s="362"/>
      <c r="C679" s="39"/>
      <c r="D679" s="55"/>
      <c r="E679" s="39"/>
      <c r="F679" s="39"/>
      <c r="G679" s="39"/>
      <c r="H679" s="494"/>
      <c r="I679" s="494"/>
      <c r="J679" s="494"/>
      <c r="K679" s="39"/>
      <c r="L679" s="39"/>
      <c r="M679" s="39"/>
      <c r="N679" s="39"/>
      <c r="O679" s="39"/>
      <c r="P679" s="39"/>
      <c r="Q679" s="39"/>
      <c r="R679" s="42"/>
    </row>
    <row r="680" spans="1:18" ht="15.75" x14ac:dyDescent="0.25">
      <c r="A680" s="363" t="s">
        <v>228</v>
      </c>
      <c r="B680" s="493" t="s">
        <v>231</v>
      </c>
      <c r="C680" s="493"/>
      <c r="D680" s="55"/>
      <c r="E680" s="39"/>
      <c r="F680" s="39"/>
      <c r="G680" s="39"/>
      <c r="H680" s="494"/>
      <c r="I680" s="494"/>
      <c r="J680" s="494"/>
      <c r="K680" s="39"/>
      <c r="L680" s="39"/>
      <c r="M680" s="39"/>
      <c r="N680" s="39"/>
      <c r="O680" s="39"/>
      <c r="P680" s="39"/>
      <c r="Q680" s="39"/>
      <c r="R680" s="42"/>
    </row>
    <row r="681" spans="1:18" ht="15.75" x14ac:dyDescent="0.25">
      <c r="A681" s="492" t="s">
        <v>210</v>
      </c>
      <c r="B681" s="493"/>
      <c r="C681" s="362"/>
      <c r="D681" s="56"/>
      <c r="E681" s="39"/>
      <c r="F681" s="39"/>
      <c r="G681" s="39"/>
      <c r="H681" s="494"/>
      <c r="I681" s="494"/>
      <c r="J681" s="494"/>
      <c r="K681" s="39"/>
      <c r="L681" s="39"/>
      <c r="M681" s="39"/>
      <c r="N681" s="39"/>
      <c r="O681" s="39"/>
      <c r="P681" s="39"/>
      <c r="Q681" s="39"/>
      <c r="R681" s="42"/>
    </row>
    <row r="682" spans="1:18" ht="15.75" x14ac:dyDescent="0.25">
      <c r="A682" s="510" t="s">
        <v>211</v>
      </c>
      <c r="B682" s="511"/>
      <c r="C682" s="511"/>
      <c r="D682" s="55"/>
      <c r="E682" s="39"/>
      <c r="F682" s="39"/>
      <c r="G682" s="39"/>
      <c r="H682" s="511"/>
      <c r="I682" s="511"/>
      <c r="J682" s="511"/>
      <c r="K682" s="39"/>
      <c r="L682" s="39"/>
      <c r="M682" s="39"/>
      <c r="N682" s="39"/>
      <c r="O682" s="39"/>
      <c r="P682" s="39"/>
      <c r="Q682" s="39"/>
      <c r="R682" s="42"/>
    </row>
    <row r="683" spans="1:18" ht="15.75" x14ac:dyDescent="0.25">
      <c r="A683" s="496" t="s">
        <v>212</v>
      </c>
      <c r="B683" s="496"/>
      <c r="C683" s="496"/>
      <c r="D683" s="496"/>
      <c r="E683" s="496"/>
      <c r="F683" s="496" t="s">
        <v>213</v>
      </c>
      <c r="G683" s="496"/>
      <c r="H683" s="496"/>
      <c r="I683" s="496"/>
      <c r="J683" s="496"/>
      <c r="K683" s="497" t="s">
        <v>221</v>
      </c>
      <c r="L683" s="497"/>
      <c r="M683" s="497"/>
      <c r="N683" s="497"/>
      <c r="O683" s="496" t="s">
        <v>222</v>
      </c>
      <c r="P683" s="496"/>
      <c r="Q683" s="496"/>
      <c r="R683" s="496"/>
    </row>
    <row r="684" spans="1:18" ht="31.5" x14ac:dyDescent="0.25">
      <c r="A684" s="364" t="s">
        <v>0</v>
      </c>
      <c r="B684" s="364" t="s">
        <v>1</v>
      </c>
      <c r="C684" s="364" t="s">
        <v>214</v>
      </c>
      <c r="D684" s="57" t="s">
        <v>215</v>
      </c>
      <c r="E684" s="49" t="s">
        <v>216</v>
      </c>
      <c r="F684" s="364" t="s">
        <v>0</v>
      </c>
      <c r="G684" s="49" t="s">
        <v>217</v>
      </c>
      <c r="H684" s="364" t="s">
        <v>218</v>
      </c>
      <c r="I684" s="49" t="s">
        <v>219</v>
      </c>
      <c r="J684" s="49" t="s">
        <v>216</v>
      </c>
      <c r="K684" s="364" t="s">
        <v>0</v>
      </c>
      <c r="L684" s="49" t="s">
        <v>223</v>
      </c>
      <c r="M684" s="49" t="s">
        <v>224</v>
      </c>
      <c r="N684" s="49" t="s">
        <v>216</v>
      </c>
      <c r="O684" s="496"/>
      <c r="P684" s="496"/>
      <c r="Q684" s="496"/>
      <c r="R684" s="496"/>
    </row>
    <row r="685" spans="1:18" ht="15.75" x14ac:dyDescent="0.25">
      <c r="A685" s="50"/>
      <c r="B685" s="44" t="s">
        <v>232</v>
      </c>
      <c r="C685" s="396">
        <v>3</v>
      </c>
      <c r="D685" s="51">
        <f>+'kardex reactivos 3'!G293</f>
        <v>4.4999999999999998E-2</v>
      </c>
      <c r="E685" s="51">
        <f>+C685*D685</f>
        <v>0.13500000000000001</v>
      </c>
      <c r="F685" s="37"/>
      <c r="G685" s="37"/>
      <c r="H685" s="37">
        <f>+'Minutos MOD por exmen '!C40</f>
        <v>0.2</v>
      </c>
      <c r="I685" s="100">
        <f>+'tasa MOD '!I37</f>
        <v>4.4725192584766118</v>
      </c>
      <c r="J685" s="37">
        <f>+I685*H685</f>
        <v>0.89450385169532243</v>
      </c>
      <c r="K685" s="37"/>
      <c r="L685" s="37">
        <f>+J694</f>
        <v>0.89450385169532243</v>
      </c>
      <c r="M685" s="109">
        <f>+'tasa cif'!G9</f>
        <v>0.76985269116945931</v>
      </c>
      <c r="N685" s="37">
        <f>+M685*L685</f>
        <v>0.68863619748909088</v>
      </c>
      <c r="O685" s="505" t="s">
        <v>225</v>
      </c>
      <c r="P685" s="505"/>
      <c r="Q685" s="35">
        <f>+E694</f>
        <v>0.62652333333333332</v>
      </c>
      <c r="R685" s="38"/>
    </row>
    <row r="686" spans="1:18" ht="15.75" x14ac:dyDescent="0.25">
      <c r="A686" s="50"/>
      <c r="B686" s="45" t="s">
        <v>233</v>
      </c>
      <c r="C686" s="396">
        <v>1</v>
      </c>
      <c r="D686" s="51">
        <f>+'kardex reactivos 1'!G325</f>
        <v>5.3399999999999996E-2</v>
      </c>
      <c r="E686" s="51">
        <f>+C686*D686</f>
        <v>5.3399999999999996E-2</v>
      </c>
      <c r="F686" s="37"/>
      <c r="G686" s="37"/>
      <c r="H686" s="37"/>
      <c r="I686" s="37"/>
      <c r="J686" s="37"/>
      <c r="K686" s="37"/>
      <c r="L686" s="37"/>
      <c r="M686" s="37"/>
      <c r="N686" s="37"/>
      <c r="O686" s="505" t="s">
        <v>226</v>
      </c>
      <c r="P686" s="505"/>
      <c r="Q686">
        <f>+J694</f>
        <v>0.89450385169532243</v>
      </c>
      <c r="R686" s="38"/>
    </row>
    <row r="687" spans="1:18" ht="15.75" x14ac:dyDescent="0.25">
      <c r="A687" s="50"/>
      <c r="B687" s="46" t="s">
        <v>234</v>
      </c>
      <c r="C687" s="396">
        <v>1</v>
      </c>
      <c r="D687" s="51">
        <f>+'kardex reactivos 1'!G347</f>
        <v>3.4979999999999997E-2</v>
      </c>
      <c r="E687" s="51">
        <f>+C687*D687</f>
        <v>3.4979999999999997E-2</v>
      </c>
      <c r="F687" s="37"/>
      <c r="G687" s="37"/>
      <c r="H687" s="37"/>
      <c r="I687" s="37"/>
      <c r="J687" s="37"/>
      <c r="K687" s="37"/>
      <c r="L687" s="37"/>
      <c r="M687" s="37"/>
      <c r="N687" s="37"/>
      <c r="O687" s="43" t="s">
        <v>227</v>
      </c>
      <c r="P687" s="365"/>
      <c r="Q687">
        <f>+N694</f>
        <v>0.68863619748909088</v>
      </c>
      <c r="R687" s="38"/>
    </row>
    <row r="688" spans="1:18" ht="16.5" thickBot="1" x14ac:dyDescent="0.3">
      <c r="A688" s="50"/>
      <c r="B688" s="44" t="s">
        <v>98</v>
      </c>
      <c r="C688" s="396">
        <v>1</v>
      </c>
      <c r="D688" s="51">
        <f>+'kardex reactivos 1'!G369</f>
        <v>2.886E-2</v>
      </c>
      <c r="E688" s="51">
        <f>+C688*D688</f>
        <v>2.886E-2</v>
      </c>
      <c r="F688" s="37"/>
      <c r="G688" s="37"/>
      <c r="H688" s="37"/>
      <c r="I688" s="37"/>
      <c r="J688" s="37"/>
      <c r="K688" s="37"/>
      <c r="L688" s="37"/>
      <c r="M688" s="37"/>
      <c r="N688" s="37"/>
      <c r="O688" s="365"/>
      <c r="P688" s="365"/>
      <c r="Q688" s="356">
        <f>SUM(Q685:Q687)</f>
        <v>2.2096633825177463</v>
      </c>
      <c r="R688" s="38"/>
    </row>
    <row r="689" spans="1:18" ht="16.5" thickTop="1" x14ac:dyDescent="0.25">
      <c r="A689" s="50"/>
      <c r="B689" s="44" t="s">
        <v>99</v>
      </c>
      <c r="C689" s="396">
        <v>1.5</v>
      </c>
      <c r="D689" s="51">
        <f>+'kardex reactivos 1'!G394</f>
        <v>3.7999999999999999E-2</v>
      </c>
      <c r="E689" s="51">
        <f t="shared" ref="E689:E693" si="36">+C689*D689</f>
        <v>5.6999999999999995E-2</v>
      </c>
      <c r="F689" s="37"/>
      <c r="G689" s="37"/>
      <c r="H689" s="37"/>
      <c r="I689" s="37"/>
      <c r="J689" s="37"/>
      <c r="K689" s="37"/>
      <c r="L689" s="37"/>
      <c r="M689" s="37"/>
      <c r="N689" s="37"/>
      <c r="O689" s="365"/>
      <c r="P689" s="365"/>
      <c r="R689" s="38"/>
    </row>
    <row r="690" spans="1:18" ht="15.75" x14ac:dyDescent="0.25">
      <c r="A690" s="50"/>
      <c r="B690" s="46" t="s">
        <v>100</v>
      </c>
      <c r="C690" s="396">
        <v>2</v>
      </c>
      <c r="D690" s="51">
        <f>+'kardex reactivos 1'!G416</f>
        <v>5.8799999999999998E-2</v>
      </c>
      <c r="E690" s="51">
        <f t="shared" si="36"/>
        <v>0.1176</v>
      </c>
      <c r="F690" s="37"/>
      <c r="G690" s="37"/>
      <c r="H690" s="37"/>
      <c r="I690" s="37"/>
      <c r="J690" s="37"/>
      <c r="K690" s="37"/>
      <c r="L690" s="37"/>
      <c r="M690" s="37"/>
      <c r="N690" s="37"/>
      <c r="O690" s="365"/>
      <c r="P690" s="365"/>
      <c r="R690" s="38"/>
    </row>
    <row r="691" spans="1:18" ht="15.75" x14ac:dyDescent="0.25">
      <c r="A691" s="50"/>
      <c r="B691" s="46" t="s">
        <v>235</v>
      </c>
      <c r="C691" s="396">
        <v>1</v>
      </c>
      <c r="D691" s="51">
        <f>+'kardex reactivos 1'!G429</f>
        <v>8.2959999999999992E-2</v>
      </c>
      <c r="E691" s="51">
        <f t="shared" si="36"/>
        <v>8.2959999999999992E-2</v>
      </c>
      <c r="F691" s="37"/>
      <c r="G691" s="37"/>
      <c r="H691" s="37"/>
      <c r="I691" s="37"/>
      <c r="J691" s="37"/>
      <c r="K691" s="37"/>
      <c r="L691" s="37"/>
      <c r="M691" s="37"/>
      <c r="N691" s="37"/>
      <c r="O691" s="365"/>
      <c r="P691" s="365"/>
      <c r="R691" s="38"/>
    </row>
    <row r="692" spans="1:18" ht="15.75" x14ac:dyDescent="0.25">
      <c r="A692" s="50"/>
      <c r="B692" s="46" t="s">
        <v>236</v>
      </c>
      <c r="C692" s="396">
        <v>2.5</v>
      </c>
      <c r="D692" s="51">
        <f>+'kardex reactivos 1'!G451</f>
        <v>3.8259999999999995E-2</v>
      </c>
      <c r="E692" s="51">
        <f t="shared" si="36"/>
        <v>9.5649999999999985E-2</v>
      </c>
      <c r="F692" s="37"/>
      <c r="G692" s="37"/>
      <c r="H692" s="37"/>
      <c r="I692" s="37"/>
      <c r="J692" s="37"/>
      <c r="K692" s="37"/>
      <c r="L692" s="37"/>
      <c r="M692" s="37"/>
      <c r="N692" s="37"/>
      <c r="O692" s="365"/>
      <c r="P692" s="365"/>
      <c r="R692" s="38"/>
    </row>
    <row r="693" spans="1:18" ht="15.75" x14ac:dyDescent="0.25">
      <c r="A693" s="50"/>
      <c r="B693" s="46" t="s">
        <v>93</v>
      </c>
      <c r="C693" s="396">
        <v>0.5</v>
      </c>
      <c r="D693" s="51">
        <f>+'kardex reactivos 1'!G270</f>
        <v>4.2146666666666666E-2</v>
      </c>
      <c r="E693" s="51">
        <f t="shared" si="36"/>
        <v>2.1073333333333333E-2</v>
      </c>
      <c r="F693" s="37"/>
      <c r="G693" s="37"/>
      <c r="H693" s="37"/>
      <c r="I693" s="37"/>
      <c r="J693" s="37"/>
      <c r="K693" s="37"/>
      <c r="L693" s="37"/>
      <c r="M693" s="37"/>
      <c r="N693" s="37"/>
      <c r="O693" s="365"/>
      <c r="P693" s="365"/>
      <c r="R693" s="38"/>
    </row>
    <row r="694" spans="1:18" ht="15.75" x14ac:dyDescent="0.25">
      <c r="A694" s="489" t="s">
        <v>220</v>
      </c>
      <c r="B694" s="489"/>
      <c r="C694" s="489"/>
      <c r="D694" s="489"/>
      <c r="E694" s="52">
        <f>SUM(E685:E693)</f>
        <v>0.62652333333333332</v>
      </c>
      <c r="F694" s="37"/>
      <c r="G694" s="37"/>
      <c r="H694" s="489" t="s">
        <v>220</v>
      </c>
      <c r="I694" s="489"/>
      <c r="J694" s="53">
        <f>+J685</f>
        <v>0.89450385169532243</v>
      </c>
      <c r="K694" s="37"/>
      <c r="L694" s="37"/>
      <c r="M694" s="37"/>
      <c r="N694" s="37">
        <f>+N685</f>
        <v>0.68863619748909088</v>
      </c>
      <c r="O694" s="490"/>
      <c r="P694" s="491"/>
      <c r="Q694" s="372"/>
      <c r="R694" s="357"/>
    </row>
  </sheetData>
  <mergeCells count="697">
    <mergeCell ref="A581:R581"/>
    <mergeCell ref="H582:J582"/>
    <mergeCell ref="B583:C583"/>
    <mergeCell ref="H583:J583"/>
    <mergeCell ref="O589:P589"/>
    <mergeCell ref="A592:D592"/>
    <mergeCell ref="H592:I592"/>
    <mergeCell ref="O592:P592"/>
    <mergeCell ref="A584:B584"/>
    <mergeCell ref="H584:J584"/>
    <mergeCell ref="A585:C585"/>
    <mergeCell ref="H585:J585"/>
    <mergeCell ref="A586:E586"/>
    <mergeCell ref="F586:J586"/>
    <mergeCell ref="K586:N586"/>
    <mergeCell ref="O586:R587"/>
    <mergeCell ref="O588:P588"/>
    <mergeCell ref="A568:C568"/>
    <mergeCell ref="H568:J568"/>
    <mergeCell ref="A569:E569"/>
    <mergeCell ref="F569:J569"/>
    <mergeCell ref="K569:N569"/>
    <mergeCell ref="O569:R570"/>
    <mergeCell ref="O571:P571"/>
    <mergeCell ref="O572:P572"/>
    <mergeCell ref="A578:D578"/>
    <mergeCell ref="H578:I578"/>
    <mergeCell ref="O578:P578"/>
    <mergeCell ref="O553:P553"/>
    <mergeCell ref="A561:D561"/>
    <mergeCell ref="H561:I561"/>
    <mergeCell ref="O561:P561"/>
    <mergeCell ref="A564:R564"/>
    <mergeCell ref="H565:J565"/>
    <mergeCell ref="B566:C566"/>
    <mergeCell ref="H566:J566"/>
    <mergeCell ref="A567:B567"/>
    <mergeCell ref="H567:J567"/>
    <mergeCell ref="A548:B548"/>
    <mergeCell ref="H548:J548"/>
    <mergeCell ref="A549:C549"/>
    <mergeCell ref="H549:J549"/>
    <mergeCell ref="A550:E550"/>
    <mergeCell ref="F550:J550"/>
    <mergeCell ref="K550:N550"/>
    <mergeCell ref="O550:R551"/>
    <mergeCell ref="O552:P552"/>
    <mergeCell ref="O535:P535"/>
    <mergeCell ref="O536:P536"/>
    <mergeCell ref="A542:D542"/>
    <mergeCell ref="H542:I542"/>
    <mergeCell ref="O542:P542"/>
    <mergeCell ref="A545:R545"/>
    <mergeCell ref="H546:J546"/>
    <mergeCell ref="B547:C547"/>
    <mergeCell ref="H547:J547"/>
    <mergeCell ref="A528:R528"/>
    <mergeCell ref="H529:J529"/>
    <mergeCell ref="B530:C530"/>
    <mergeCell ref="H530:J530"/>
    <mergeCell ref="A531:B531"/>
    <mergeCell ref="H531:J531"/>
    <mergeCell ref="A532:C532"/>
    <mergeCell ref="H532:J532"/>
    <mergeCell ref="A533:E533"/>
    <mergeCell ref="F533:J533"/>
    <mergeCell ref="K533:N533"/>
    <mergeCell ref="O533:R534"/>
    <mergeCell ref="A515:C515"/>
    <mergeCell ref="H515:J515"/>
    <mergeCell ref="A516:E516"/>
    <mergeCell ref="F516:J516"/>
    <mergeCell ref="K516:N516"/>
    <mergeCell ref="O516:R517"/>
    <mergeCell ref="O518:P518"/>
    <mergeCell ref="O519:P519"/>
    <mergeCell ref="A522:D522"/>
    <mergeCell ref="H522:I522"/>
    <mergeCell ref="O522:P522"/>
    <mergeCell ref="O502:P502"/>
    <mergeCell ref="A508:D508"/>
    <mergeCell ref="H508:I508"/>
    <mergeCell ref="O508:P508"/>
    <mergeCell ref="A511:R511"/>
    <mergeCell ref="H512:J512"/>
    <mergeCell ref="B513:C513"/>
    <mergeCell ref="H513:J513"/>
    <mergeCell ref="A514:B514"/>
    <mergeCell ref="H514:J514"/>
    <mergeCell ref="A497:B497"/>
    <mergeCell ref="H497:J497"/>
    <mergeCell ref="A498:C498"/>
    <mergeCell ref="H498:J498"/>
    <mergeCell ref="A499:E499"/>
    <mergeCell ref="F499:J499"/>
    <mergeCell ref="K499:N499"/>
    <mergeCell ref="O499:R500"/>
    <mergeCell ref="O501:P501"/>
    <mergeCell ref="O482:R483"/>
    <mergeCell ref="O484:P484"/>
    <mergeCell ref="O485:P485"/>
    <mergeCell ref="A491:D491"/>
    <mergeCell ref="H491:I491"/>
    <mergeCell ref="O491:P491"/>
    <mergeCell ref="A494:R494"/>
    <mergeCell ref="H495:J495"/>
    <mergeCell ref="B496:C496"/>
    <mergeCell ref="H496:J496"/>
    <mergeCell ref="B479:C479"/>
    <mergeCell ref="H479:J479"/>
    <mergeCell ref="A480:B480"/>
    <mergeCell ref="H480:J480"/>
    <mergeCell ref="A481:C481"/>
    <mergeCell ref="H481:J481"/>
    <mergeCell ref="A482:E482"/>
    <mergeCell ref="F482:J482"/>
    <mergeCell ref="K482:N482"/>
    <mergeCell ref="K468:N468"/>
    <mergeCell ref="O468:R469"/>
    <mergeCell ref="O470:P470"/>
    <mergeCell ref="O471:P471"/>
    <mergeCell ref="A474:D474"/>
    <mergeCell ref="H474:I474"/>
    <mergeCell ref="O474:P474"/>
    <mergeCell ref="A477:R477"/>
    <mergeCell ref="H478:J478"/>
    <mergeCell ref="H464:J464"/>
    <mergeCell ref="B465:C465"/>
    <mergeCell ref="H465:J465"/>
    <mergeCell ref="A466:B466"/>
    <mergeCell ref="H466:J466"/>
    <mergeCell ref="A467:C467"/>
    <mergeCell ref="H467:J467"/>
    <mergeCell ref="A468:E468"/>
    <mergeCell ref="F468:J468"/>
    <mergeCell ref="A460:D460"/>
    <mergeCell ref="H460:I460"/>
    <mergeCell ref="O460:P460"/>
    <mergeCell ref="A449:R449"/>
    <mergeCell ref="A463:R463"/>
    <mergeCell ref="H450:J450"/>
    <mergeCell ref="B451:C451"/>
    <mergeCell ref="H451:J451"/>
    <mergeCell ref="A452:B452"/>
    <mergeCell ref="H452:J452"/>
    <mergeCell ref="A453:C453"/>
    <mergeCell ref="H453:J453"/>
    <mergeCell ref="A454:E454"/>
    <mergeCell ref="F454:J454"/>
    <mergeCell ref="O436:P436"/>
    <mergeCell ref="O437:P437"/>
    <mergeCell ref="A445:D445"/>
    <mergeCell ref="H445:I445"/>
    <mergeCell ref="O445:P445"/>
    <mergeCell ref="K454:N454"/>
    <mergeCell ref="O454:R455"/>
    <mergeCell ref="O456:P456"/>
    <mergeCell ref="O457:P457"/>
    <mergeCell ref="A429:R429"/>
    <mergeCell ref="H430:J430"/>
    <mergeCell ref="B431:C431"/>
    <mergeCell ref="H431:J431"/>
    <mergeCell ref="A432:B432"/>
    <mergeCell ref="H432:J432"/>
    <mergeCell ref="A433:C433"/>
    <mergeCell ref="H433:J433"/>
    <mergeCell ref="A434:E434"/>
    <mergeCell ref="F434:J434"/>
    <mergeCell ref="K434:N434"/>
    <mergeCell ref="O434:R435"/>
    <mergeCell ref="A419:C419"/>
    <mergeCell ref="H419:J419"/>
    <mergeCell ref="A420:E420"/>
    <mergeCell ref="F420:J420"/>
    <mergeCell ref="K420:N420"/>
    <mergeCell ref="O420:R421"/>
    <mergeCell ref="O422:P422"/>
    <mergeCell ref="O423:P423"/>
    <mergeCell ref="A426:D426"/>
    <mergeCell ref="H426:I426"/>
    <mergeCell ref="O426:P426"/>
    <mergeCell ref="O404:P404"/>
    <mergeCell ref="A412:D412"/>
    <mergeCell ref="H412:I412"/>
    <mergeCell ref="O412:P412"/>
    <mergeCell ref="A415:R415"/>
    <mergeCell ref="H416:J416"/>
    <mergeCell ref="B417:C417"/>
    <mergeCell ref="H417:J417"/>
    <mergeCell ref="A418:B418"/>
    <mergeCell ref="H418:J418"/>
    <mergeCell ref="A399:B399"/>
    <mergeCell ref="H399:J399"/>
    <mergeCell ref="A400:C400"/>
    <mergeCell ref="H400:J400"/>
    <mergeCell ref="A401:E401"/>
    <mergeCell ref="F401:J401"/>
    <mergeCell ref="K401:N401"/>
    <mergeCell ref="O401:R402"/>
    <mergeCell ref="O403:P403"/>
    <mergeCell ref="O329:P329"/>
    <mergeCell ref="O330:P330"/>
    <mergeCell ref="A338:D338"/>
    <mergeCell ref="H338:I338"/>
    <mergeCell ref="O338:P338"/>
    <mergeCell ref="A396:R396"/>
    <mergeCell ref="H397:J397"/>
    <mergeCell ref="B398:C398"/>
    <mergeCell ref="H398:J398"/>
    <mergeCell ref="A341:R341"/>
    <mergeCell ref="H342:J342"/>
    <mergeCell ref="B343:C343"/>
    <mergeCell ref="H343:J343"/>
    <mergeCell ref="A344:B344"/>
    <mergeCell ref="H344:J344"/>
    <mergeCell ref="A345:C345"/>
    <mergeCell ref="H345:J345"/>
    <mergeCell ref="A346:E346"/>
    <mergeCell ref="F346:J346"/>
    <mergeCell ref="K346:N346"/>
    <mergeCell ref="O346:R347"/>
    <mergeCell ref="A362:R362"/>
    <mergeCell ref="H363:J363"/>
    <mergeCell ref="B364:C364"/>
    <mergeCell ref="A322:R322"/>
    <mergeCell ref="H323:J323"/>
    <mergeCell ref="B324:C324"/>
    <mergeCell ref="H324:J324"/>
    <mergeCell ref="A325:B325"/>
    <mergeCell ref="H325:J325"/>
    <mergeCell ref="A326:C326"/>
    <mergeCell ref="H326:J326"/>
    <mergeCell ref="A327:E327"/>
    <mergeCell ref="F327:J327"/>
    <mergeCell ref="K327:N327"/>
    <mergeCell ref="O327:R328"/>
    <mergeCell ref="A306:C306"/>
    <mergeCell ref="H306:J306"/>
    <mergeCell ref="A307:E307"/>
    <mergeCell ref="F307:J307"/>
    <mergeCell ref="K307:N307"/>
    <mergeCell ref="O307:R308"/>
    <mergeCell ref="O309:P309"/>
    <mergeCell ref="O310:P310"/>
    <mergeCell ref="A319:D319"/>
    <mergeCell ref="H319:I319"/>
    <mergeCell ref="O319:P319"/>
    <mergeCell ref="O295:P295"/>
    <mergeCell ref="A298:D298"/>
    <mergeCell ref="H298:I298"/>
    <mergeCell ref="O298:P298"/>
    <mergeCell ref="A302:R302"/>
    <mergeCell ref="H303:J303"/>
    <mergeCell ref="B304:C304"/>
    <mergeCell ref="H304:J304"/>
    <mergeCell ref="A305:B305"/>
    <mergeCell ref="H305:J305"/>
    <mergeCell ref="A290:B290"/>
    <mergeCell ref="H290:J290"/>
    <mergeCell ref="A291:C291"/>
    <mergeCell ref="H291:J291"/>
    <mergeCell ref="A292:E292"/>
    <mergeCell ref="F292:J292"/>
    <mergeCell ref="K292:N292"/>
    <mergeCell ref="O292:R293"/>
    <mergeCell ref="O294:P294"/>
    <mergeCell ref="O277:P277"/>
    <mergeCell ref="O278:P278"/>
    <mergeCell ref="A281:D281"/>
    <mergeCell ref="H281:I281"/>
    <mergeCell ref="O281:P281"/>
    <mergeCell ref="A287:R287"/>
    <mergeCell ref="H288:J288"/>
    <mergeCell ref="B289:C289"/>
    <mergeCell ref="H289:J289"/>
    <mergeCell ref="A270:R270"/>
    <mergeCell ref="H271:J271"/>
    <mergeCell ref="B272:C272"/>
    <mergeCell ref="H272:J272"/>
    <mergeCell ref="A273:B273"/>
    <mergeCell ref="H273:J273"/>
    <mergeCell ref="A274:C274"/>
    <mergeCell ref="H274:J274"/>
    <mergeCell ref="A275:E275"/>
    <mergeCell ref="F275:J275"/>
    <mergeCell ref="K275:N275"/>
    <mergeCell ref="O275:R276"/>
    <mergeCell ref="A260:C260"/>
    <mergeCell ref="H260:J260"/>
    <mergeCell ref="A261:E261"/>
    <mergeCell ref="F261:J261"/>
    <mergeCell ref="K261:N261"/>
    <mergeCell ref="O261:R262"/>
    <mergeCell ref="O263:P263"/>
    <mergeCell ref="O264:P264"/>
    <mergeCell ref="A267:D267"/>
    <mergeCell ref="H267:I267"/>
    <mergeCell ref="O267:P267"/>
    <mergeCell ref="O247:P247"/>
    <mergeCell ref="A253:D253"/>
    <mergeCell ref="H253:I253"/>
    <mergeCell ref="O253:P253"/>
    <mergeCell ref="A256:R256"/>
    <mergeCell ref="H257:J257"/>
    <mergeCell ref="B258:C258"/>
    <mergeCell ref="H258:J258"/>
    <mergeCell ref="A259:B259"/>
    <mergeCell ref="H259:J259"/>
    <mergeCell ref="A242:B242"/>
    <mergeCell ref="H242:J242"/>
    <mergeCell ref="A243:C243"/>
    <mergeCell ref="H243:J243"/>
    <mergeCell ref="A244:E244"/>
    <mergeCell ref="F244:J244"/>
    <mergeCell ref="K244:N244"/>
    <mergeCell ref="O244:R245"/>
    <mergeCell ref="O246:P246"/>
    <mergeCell ref="O232:P232"/>
    <mergeCell ref="O233:P233"/>
    <mergeCell ref="A236:D236"/>
    <mergeCell ref="H236:I236"/>
    <mergeCell ref="O236:P236"/>
    <mergeCell ref="A239:R239"/>
    <mergeCell ref="H240:J240"/>
    <mergeCell ref="B241:C241"/>
    <mergeCell ref="H241:J241"/>
    <mergeCell ref="A225:R225"/>
    <mergeCell ref="H226:J226"/>
    <mergeCell ref="B227:C227"/>
    <mergeCell ref="H227:J227"/>
    <mergeCell ref="A228:B228"/>
    <mergeCell ref="H228:J228"/>
    <mergeCell ref="A229:C229"/>
    <mergeCell ref="H229:J229"/>
    <mergeCell ref="A230:E230"/>
    <mergeCell ref="F230:J230"/>
    <mergeCell ref="K230:N230"/>
    <mergeCell ref="O230:R231"/>
    <mergeCell ref="A210:C210"/>
    <mergeCell ref="H210:J210"/>
    <mergeCell ref="A211:E211"/>
    <mergeCell ref="F211:J211"/>
    <mergeCell ref="K211:N211"/>
    <mergeCell ref="O211:R212"/>
    <mergeCell ref="O213:P213"/>
    <mergeCell ref="O214:P214"/>
    <mergeCell ref="A222:D222"/>
    <mergeCell ref="H222:I222"/>
    <mergeCell ref="O222:P222"/>
    <mergeCell ref="O194:P194"/>
    <mergeCell ref="A202:D202"/>
    <mergeCell ref="H202:I202"/>
    <mergeCell ref="O202:P202"/>
    <mergeCell ref="A206:R206"/>
    <mergeCell ref="H207:J207"/>
    <mergeCell ref="B208:C208"/>
    <mergeCell ref="H208:J208"/>
    <mergeCell ref="A209:B209"/>
    <mergeCell ref="H209:J209"/>
    <mergeCell ref="A189:B189"/>
    <mergeCell ref="H189:J189"/>
    <mergeCell ref="A190:C190"/>
    <mergeCell ref="H190:J190"/>
    <mergeCell ref="A191:E191"/>
    <mergeCell ref="F191:J191"/>
    <mergeCell ref="K191:N191"/>
    <mergeCell ref="O191:R192"/>
    <mergeCell ref="O193:P193"/>
    <mergeCell ref="O174:P174"/>
    <mergeCell ref="O175:P175"/>
    <mergeCell ref="A183:D183"/>
    <mergeCell ref="H183:I183"/>
    <mergeCell ref="O183:P183"/>
    <mergeCell ref="A186:R186"/>
    <mergeCell ref="H187:J187"/>
    <mergeCell ref="B188:C188"/>
    <mergeCell ref="H188:J188"/>
    <mergeCell ref="A167:R167"/>
    <mergeCell ref="H168:J168"/>
    <mergeCell ref="B169:C169"/>
    <mergeCell ref="H169:J169"/>
    <mergeCell ref="A170:B170"/>
    <mergeCell ref="H170:J170"/>
    <mergeCell ref="A171:C171"/>
    <mergeCell ref="H171:J171"/>
    <mergeCell ref="A172:E172"/>
    <mergeCell ref="F172:J172"/>
    <mergeCell ref="K172:N172"/>
    <mergeCell ref="O172:R173"/>
    <mergeCell ref="A20:R20"/>
    <mergeCell ref="H21:J21"/>
    <mergeCell ref="B22:C22"/>
    <mergeCell ref="H22:J22"/>
    <mergeCell ref="A23:B23"/>
    <mergeCell ref="H23:J23"/>
    <mergeCell ref="O7:R8"/>
    <mergeCell ref="A2:R2"/>
    <mergeCell ref="H3:J3"/>
    <mergeCell ref="B4:C4"/>
    <mergeCell ref="H4:J4"/>
    <mergeCell ref="A5:B5"/>
    <mergeCell ref="H5:J5"/>
    <mergeCell ref="A6:C6"/>
    <mergeCell ref="H6:J6"/>
    <mergeCell ref="A7:E7"/>
    <mergeCell ref="F7:J7"/>
    <mergeCell ref="K7:N7"/>
    <mergeCell ref="O9:P9"/>
    <mergeCell ref="O10:P10"/>
    <mergeCell ref="A16:D16"/>
    <mergeCell ref="H16:I16"/>
    <mergeCell ref="O16:P16"/>
    <mergeCell ref="O25:R26"/>
    <mergeCell ref="O27:P27"/>
    <mergeCell ref="O28:P28"/>
    <mergeCell ref="A33:D33"/>
    <mergeCell ref="H33:I33"/>
    <mergeCell ref="O33:P33"/>
    <mergeCell ref="A24:C24"/>
    <mergeCell ref="H24:J24"/>
    <mergeCell ref="A25:E25"/>
    <mergeCell ref="F25:J25"/>
    <mergeCell ref="K25:N25"/>
    <mergeCell ref="A41:C41"/>
    <mergeCell ref="H41:J41"/>
    <mergeCell ref="A42:E42"/>
    <mergeCell ref="F42:J42"/>
    <mergeCell ref="K42:N42"/>
    <mergeCell ref="A37:R37"/>
    <mergeCell ref="H38:J38"/>
    <mergeCell ref="B39:C39"/>
    <mergeCell ref="H39:J39"/>
    <mergeCell ref="A40:B40"/>
    <mergeCell ref="H40:J40"/>
    <mergeCell ref="A50:R50"/>
    <mergeCell ref="H51:J51"/>
    <mergeCell ref="B52:C52"/>
    <mergeCell ref="H52:J52"/>
    <mergeCell ref="A53:B53"/>
    <mergeCell ref="H53:J53"/>
    <mergeCell ref="O42:R43"/>
    <mergeCell ref="O44:P44"/>
    <mergeCell ref="O45:P45"/>
    <mergeCell ref="A47:D47"/>
    <mergeCell ref="H47:I47"/>
    <mergeCell ref="O55:R56"/>
    <mergeCell ref="O57:P57"/>
    <mergeCell ref="O58:P58"/>
    <mergeCell ref="A61:D61"/>
    <mergeCell ref="H61:I61"/>
    <mergeCell ref="O61:P61"/>
    <mergeCell ref="A54:C54"/>
    <mergeCell ref="H54:J54"/>
    <mergeCell ref="A55:E55"/>
    <mergeCell ref="F55:J55"/>
    <mergeCell ref="K55:N55"/>
    <mergeCell ref="A68:C68"/>
    <mergeCell ref="H68:J68"/>
    <mergeCell ref="A69:E69"/>
    <mergeCell ref="F69:J69"/>
    <mergeCell ref="K69:N69"/>
    <mergeCell ref="A64:R64"/>
    <mergeCell ref="H65:J65"/>
    <mergeCell ref="B66:C66"/>
    <mergeCell ref="H66:J66"/>
    <mergeCell ref="A67:B67"/>
    <mergeCell ref="H67:J67"/>
    <mergeCell ref="A78:R78"/>
    <mergeCell ref="H79:J79"/>
    <mergeCell ref="B80:C80"/>
    <mergeCell ref="H80:J80"/>
    <mergeCell ref="A81:B81"/>
    <mergeCell ref="H81:J81"/>
    <mergeCell ref="O69:R70"/>
    <mergeCell ref="O71:P71"/>
    <mergeCell ref="O72:P72"/>
    <mergeCell ref="A75:D75"/>
    <mergeCell ref="H75:I75"/>
    <mergeCell ref="O75:P75"/>
    <mergeCell ref="O83:R84"/>
    <mergeCell ref="O85:P85"/>
    <mergeCell ref="O86:P86"/>
    <mergeCell ref="A91:D91"/>
    <mergeCell ref="H91:I91"/>
    <mergeCell ref="O91:P91"/>
    <mergeCell ref="A82:C82"/>
    <mergeCell ref="H82:J82"/>
    <mergeCell ref="A83:E83"/>
    <mergeCell ref="F83:J83"/>
    <mergeCell ref="K83:N83"/>
    <mergeCell ref="A95:R95"/>
    <mergeCell ref="A111:R111"/>
    <mergeCell ref="H112:J112"/>
    <mergeCell ref="B113:C113"/>
    <mergeCell ref="H113:J113"/>
    <mergeCell ref="O100:R101"/>
    <mergeCell ref="O102:P102"/>
    <mergeCell ref="O103:P103"/>
    <mergeCell ref="A108:D108"/>
    <mergeCell ref="H108:I108"/>
    <mergeCell ref="O108:P108"/>
    <mergeCell ref="A99:C99"/>
    <mergeCell ref="H99:J99"/>
    <mergeCell ref="A100:E100"/>
    <mergeCell ref="F100:J100"/>
    <mergeCell ref="K100:N100"/>
    <mergeCell ref="H96:J96"/>
    <mergeCell ref="H97:J97"/>
    <mergeCell ref="A98:B98"/>
    <mergeCell ref="H98:J98"/>
    <mergeCell ref="K116:N116"/>
    <mergeCell ref="O116:R117"/>
    <mergeCell ref="O118:P118"/>
    <mergeCell ref="O119:P119"/>
    <mergeCell ref="A125:D125"/>
    <mergeCell ref="H125:I125"/>
    <mergeCell ref="O125:P125"/>
    <mergeCell ref="A114:B114"/>
    <mergeCell ref="H114:J114"/>
    <mergeCell ref="A115:C115"/>
    <mergeCell ref="H115:J115"/>
    <mergeCell ref="A116:E116"/>
    <mergeCell ref="F116:J116"/>
    <mergeCell ref="A130:R130"/>
    <mergeCell ref="H131:J131"/>
    <mergeCell ref="B132:C132"/>
    <mergeCell ref="H132:J132"/>
    <mergeCell ref="A133:B133"/>
    <mergeCell ref="H133:J133"/>
    <mergeCell ref="A134:C134"/>
    <mergeCell ref="H134:J134"/>
    <mergeCell ref="A135:E135"/>
    <mergeCell ref="F135:J135"/>
    <mergeCell ref="K135:N135"/>
    <mergeCell ref="O135:R136"/>
    <mergeCell ref="O137:P137"/>
    <mergeCell ref="O138:P138"/>
    <mergeCell ref="A141:D141"/>
    <mergeCell ref="H141:I141"/>
    <mergeCell ref="O141:P141"/>
    <mergeCell ref="A145:R145"/>
    <mergeCell ref="H146:J146"/>
    <mergeCell ref="B147:C147"/>
    <mergeCell ref="H147:J147"/>
    <mergeCell ref="O153:P153"/>
    <mergeCell ref="A161:D161"/>
    <mergeCell ref="H161:I161"/>
    <mergeCell ref="O161:P161"/>
    <mergeCell ref="A148:B148"/>
    <mergeCell ref="H148:J148"/>
    <mergeCell ref="A149:C149"/>
    <mergeCell ref="H149:J149"/>
    <mergeCell ref="A150:E150"/>
    <mergeCell ref="F150:J150"/>
    <mergeCell ref="K150:N150"/>
    <mergeCell ref="O150:R151"/>
    <mergeCell ref="O152:P152"/>
    <mergeCell ref="H364:J364"/>
    <mergeCell ref="A365:B365"/>
    <mergeCell ref="H365:J365"/>
    <mergeCell ref="O348:P348"/>
    <mergeCell ref="O349:P349"/>
    <mergeCell ref="A357:D357"/>
    <mergeCell ref="H357:I357"/>
    <mergeCell ref="O357:P357"/>
    <mergeCell ref="A366:C366"/>
    <mergeCell ref="H366:J366"/>
    <mergeCell ref="A367:E367"/>
    <mergeCell ref="F367:J367"/>
    <mergeCell ref="K367:N367"/>
    <mergeCell ref="O367:R368"/>
    <mergeCell ref="O369:P369"/>
    <mergeCell ref="O370:P370"/>
    <mergeCell ref="A373:D373"/>
    <mergeCell ref="H373:I373"/>
    <mergeCell ref="O373:P373"/>
    <mergeCell ref="O383:P383"/>
    <mergeCell ref="O384:P384"/>
    <mergeCell ref="A392:D392"/>
    <mergeCell ref="H392:I392"/>
    <mergeCell ref="O392:P392"/>
    <mergeCell ref="A376:R376"/>
    <mergeCell ref="H377:J377"/>
    <mergeCell ref="B378:C378"/>
    <mergeCell ref="H378:J378"/>
    <mergeCell ref="A379:B379"/>
    <mergeCell ref="H379:J379"/>
    <mergeCell ref="A380:C380"/>
    <mergeCell ref="H380:J380"/>
    <mergeCell ref="A381:E381"/>
    <mergeCell ref="F381:J381"/>
    <mergeCell ref="K381:N381"/>
    <mergeCell ref="O381:R382"/>
    <mergeCell ref="O603:P603"/>
    <mergeCell ref="O604:P604"/>
    <mergeCell ref="A607:D607"/>
    <mergeCell ref="H607:I607"/>
    <mergeCell ref="O607:P607"/>
    <mergeCell ref="A596:R596"/>
    <mergeCell ref="O601:R602"/>
    <mergeCell ref="A610:R610"/>
    <mergeCell ref="H611:J611"/>
    <mergeCell ref="H597:J597"/>
    <mergeCell ref="B598:C598"/>
    <mergeCell ref="H598:J598"/>
    <mergeCell ref="A599:B599"/>
    <mergeCell ref="H599:J599"/>
    <mergeCell ref="A600:C600"/>
    <mergeCell ref="H600:J600"/>
    <mergeCell ref="A601:E601"/>
    <mergeCell ref="F601:J601"/>
    <mergeCell ref="K601:N601"/>
    <mergeCell ref="B612:C612"/>
    <mergeCell ref="H612:J612"/>
    <mergeCell ref="A613:B613"/>
    <mergeCell ref="H613:J613"/>
    <mergeCell ref="A614:C614"/>
    <mergeCell ref="H614:J614"/>
    <mergeCell ref="A615:E615"/>
    <mergeCell ref="F615:J615"/>
    <mergeCell ref="K615:N615"/>
    <mergeCell ref="O615:R616"/>
    <mergeCell ref="O617:P617"/>
    <mergeCell ref="O618:P618"/>
    <mergeCell ref="A620:D620"/>
    <mergeCell ref="H620:I620"/>
    <mergeCell ref="O620:P620"/>
    <mergeCell ref="A624:R624"/>
    <mergeCell ref="H625:J625"/>
    <mergeCell ref="B626:C626"/>
    <mergeCell ref="H626:J626"/>
    <mergeCell ref="A627:B627"/>
    <mergeCell ref="H627:J627"/>
    <mergeCell ref="A628:C628"/>
    <mergeCell ref="H628:J628"/>
    <mergeCell ref="A629:E629"/>
    <mergeCell ref="F629:J629"/>
    <mergeCell ref="K629:N629"/>
    <mergeCell ref="O629:R630"/>
    <mergeCell ref="O631:P631"/>
    <mergeCell ref="O632:P632"/>
    <mergeCell ref="A638:D638"/>
    <mergeCell ref="H638:I638"/>
    <mergeCell ref="O638:P638"/>
    <mergeCell ref="A642:R642"/>
    <mergeCell ref="H643:J643"/>
    <mergeCell ref="B644:C644"/>
    <mergeCell ref="H644:J644"/>
    <mergeCell ref="A645:B645"/>
    <mergeCell ref="H645:J645"/>
    <mergeCell ref="A646:C646"/>
    <mergeCell ref="H646:J646"/>
    <mergeCell ref="A647:E647"/>
    <mergeCell ref="F647:J647"/>
    <mergeCell ref="K647:N647"/>
    <mergeCell ref="O649:P649"/>
    <mergeCell ref="O650:P650"/>
    <mergeCell ref="O652:P652"/>
    <mergeCell ref="O647:R648"/>
    <mergeCell ref="A657:D657"/>
    <mergeCell ref="H657:I657"/>
    <mergeCell ref="O657:P657"/>
    <mergeCell ref="A661:R661"/>
    <mergeCell ref="H662:J662"/>
    <mergeCell ref="B663:C663"/>
    <mergeCell ref="H663:J663"/>
    <mergeCell ref="A664:B664"/>
    <mergeCell ref="H664:J664"/>
    <mergeCell ref="A665:C665"/>
    <mergeCell ref="H665:J665"/>
    <mergeCell ref="A666:E666"/>
    <mergeCell ref="F666:J666"/>
    <mergeCell ref="K666:N666"/>
    <mergeCell ref="O668:P668"/>
    <mergeCell ref="O669:P669"/>
    <mergeCell ref="O671:P671"/>
    <mergeCell ref="O666:R667"/>
    <mergeCell ref="A675:D675"/>
    <mergeCell ref="H675:I675"/>
    <mergeCell ref="O675:P675"/>
    <mergeCell ref="A678:R678"/>
    <mergeCell ref="H679:J679"/>
    <mergeCell ref="B680:C680"/>
    <mergeCell ref="H680:J680"/>
    <mergeCell ref="A681:B681"/>
    <mergeCell ref="H681:J681"/>
    <mergeCell ref="A682:C682"/>
    <mergeCell ref="H682:J682"/>
    <mergeCell ref="A683:E683"/>
    <mergeCell ref="F683:J683"/>
    <mergeCell ref="K683:N683"/>
    <mergeCell ref="O683:R684"/>
    <mergeCell ref="O685:P685"/>
    <mergeCell ref="O686:P686"/>
    <mergeCell ref="A694:D694"/>
    <mergeCell ref="H694:I694"/>
    <mergeCell ref="O694:P694"/>
  </mergeCells>
  <conditionalFormatting sqref="B234">
    <cfRule type="duplicateValues" dxfId="4" priority="7"/>
  </conditionalFormatting>
  <conditionalFormatting sqref="B318">
    <cfRule type="duplicateValues" dxfId="3" priority="4"/>
  </conditionalFormatting>
  <conditionalFormatting sqref="B318">
    <cfRule type="duplicateValues" dxfId="2" priority="5"/>
  </conditionalFormatting>
  <conditionalFormatting sqref="C246:C252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{B353222E-A0A2-4152-8653-A013595F7F9C}</x14:id>
        </ext>
      </extLst>
    </cfRule>
  </conditionalFormatting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353222E-A0A2-4152-8653-A013595F7F9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C246:C252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topLeftCell="A31" workbookViewId="0">
      <selection activeCell="A37" sqref="A37:C42"/>
    </sheetView>
  </sheetViews>
  <sheetFormatPr baseColWidth="10" defaultRowHeight="15" x14ac:dyDescent="0.25"/>
  <cols>
    <col min="1" max="1" width="31.28515625" style="4" customWidth="1"/>
    <col min="2" max="2" width="16.85546875" customWidth="1"/>
    <col min="3" max="3" width="25" customWidth="1"/>
  </cols>
  <sheetData>
    <row r="1" spans="1:3" x14ac:dyDescent="0.25">
      <c r="A1" s="379" t="s">
        <v>627</v>
      </c>
      <c r="B1" t="s">
        <v>628</v>
      </c>
      <c r="C1" t="s">
        <v>629</v>
      </c>
    </row>
    <row r="2" spans="1:3" x14ac:dyDescent="0.25">
      <c r="A2" s="29" t="s">
        <v>515</v>
      </c>
      <c r="B2">
        <v>8</v>
      </c>
      <c r="C2">
        <f>8/60</f>
        <v>0.13333333333333333</v>
      </c>
    </row>
    <row r="3" spans="1:3" x14ac:dyDescent="0.25">
      <c r="A3" s="29" t="s">
        <v>517</v>
      </c>
      <c r="B3">
        <v>80</v>
      </c>
      <c r="C3">
        <f t="shared" ref="C3:C11" si="0">+B3/60</f>
        <v>1.3333333333333333</v>
      </c>
    </row>
    <row r="4" spans="1:3" x14ac:dyDescent="0.25">
      <c r="A4" s="29" t="s">
        <v>521</v>
      </c>
      <c r="B4">
        <v>15</v>
      </c>
      <c r="C4">
        <f t="shared" si="0"/>
        <v>0.25</v>
      </c>
    </row>
    <row r="5" spans="1:3" x14ac:dyDescent="0.25">
      <c r="A5" s="29" t="s">
        <v>135</v>
      </c>
      <c r="B5">
        <v>13</v>
      </c>
      <c r="C5">
        <f t="shared" si="0"/>
        <v>0.21666666666666667</v>
      </c>
    </row>
    <row r="6" spans="1:3" x14ac:dyDescent="0.25">
      <c r="A6" s="29" t="s">
        <v>615</v>
      </c>
      <c r="B6">
        <v>6</v>
      </c>
      <c r="C6">
        <f t="shared" si="0"/>
        <v>0.1</v>
      </c>
    </row>
    <row r="7" spans="1:3" ht="30" x14ac:dyDescent="0.25">
      <c r="A7" s="343" t="s">
        <v>526</v>
      </c>
      <c r="B7">
        <v>9</v>
      </c>
      <c r="C7">
        <f t="shared" si="0"/>
        <v>0.15</v>
      </c>
    </row>
    <row r="8" spans="1:3" x14ac:dyDescent="0.25">
      <c r="A8" s="29" t="s">
        <v>529</v>
      </c>
      <c r="B8">
        <v>9</v>
      </c>
      <c r="C8">
        <f t="shared" si="0"/>
        <v>0.15</v>
      </c>
    </row>
    <row r="9" spans="1:3" x14ac:dyDescent="0.25">
      <c r="A9" s="373" t="s">
        <v>530</v>
      </c>
      <c r="B9">
        <v>11</v>
      </c>
      <c r="C9">
        <f t="shared" si="0"/>
        <v>0.18333333333333332</v>
      </c>
    </row>
    <row r="10" spans="1:3" x14ac:dyDescent="0.25">
      <c r="A10" s="373" t="s">
        <v>534</v>
      </c>
      <c r="B10">
        <v>6</v>
      </c>
      <c r="C10">
        <f t="shared" si="0"/>
        <v>0.1</v>
      </c>
    </row>
    <row r="11" spans="1:3" x14ac:dyDescent="0.25">
      <c r="A11" s="373" t="s">
        <v>116</v>
      </c>
      <c r="B11">
        <v>70</v>
      </c>
      <c r="C11">
        <f t="shared" si="0"/>
        <v>1.1666666666666667</v>
      </c>
    </row>
    <row r="12" spans="1:3" x14ac:dyDescent="0.25">
      <c r="A12" s="373" t="s">
        <v>539</v>
      </c>
      <c r="B12">
        <v>120</v>
      </c>
      <c r="C12">
        <f>+B12/60</f>
        <v>2</v>
      </c>
    </row>
    <row r="13" spans="1:3" x14ac:dyDescent="0.25">
      <c r="A13" s="373" t="s">
        <v>112</v>
      </c>
      <c r="B13">
        <v>65</v>
      </c>
      <c r="C13">
        <f t="shared" ref="C13:C15" si="1">+B13/60</f>
        <v>1.0833333333333333</v>
      </c>
    </row>
    <row r="14" spans="1:3" x14ac:dyDescent="0.25">
      <c r="A14" s="373" t="s">
        <v>113</v>
      </c>
      <c r="B14">
        <v>65</v>
      </c>
      <c r="C14">
        <f t="shared" si="1"/>
        <v>1.0833333333333333</v>
      </c>
    </row>
    <row r="15" spans="1:3" x14ac:dyDescent="0.25">
      <c r="A15" s="373" t="s">
        <v>550</v>
      </c>
      <c r="B15">
        <v>15</v>
      </c>
      <c r="C15">
        <f t="shared" si="1"/>
        <v>0.25</v>
      </c>
    </row>
    <row r="16" spans="1:3" x14ac:dyDescent="0.25">
      <c r="A16" s="373" t="s">
        <v>616</v>
      </c>
      <c r="B16">
        <v>12</v>
      </c>
      <c r="C16">
        <f t="shared" ref="C16:C39" si="2">+B16/60</f>
        <v>0.2</v>
      </c>
    </row>
    <row r="17" spans="1:3" x14ac:dyDescent="0.25">
      <c r="A17" s="373" t="s">
        <v>617</v>
      </c>
      <c r="B17">
        <v>12</v>
      </c>
      <c r="C17">
        <f t="shared" si="2"/>
        <v>0.2</v>
      </c>
    </row>
    <row r="18" spans="1:3" x14ac:dyDescent="0.25">
      <c r="A18" s="373" t="s">
        <v>556</v>
      </c>
      <c r="B18">
        <v>90</v>
      </c>
      <c r="C18">
        <f t="shared" si="2"/>
        <v>1.5</v>
      </c>
    </row>
    <row r="19" spans="1:3" x14ac:dyDescent="0.25">
      <c r="A19" s="373" t="s">
        <v>618</v>
      </c>
      <c r="B19">
        <v>15</v>
      </c>
      <c r="C19">
        <f t="shared" si="2"/>
        <v>0.25</v>
      </c>
    </row>
    <row r="20" spans="1:3" x14ac:dyDescent="0.25">
      <c r="A20" s="373" t="s">
        <v>562</v>
      </c>
      <c r="B20">
        <v>30</v>
      </c>
      <c r="C20">
        <f t="shared" si="2"/>
        <v>0.5</v>
      </c>
    </row>
    <row r="21" spans="1:3" x14ac:dyDescent="0.25">
      <c r="A21" s="373" t="s">
        <v>115</v>
      </c>
      <c r="B21">
        <v>100</v>
      </c>
      <c r="C21">
        <f t="shared" si="2"/>
        <v>1.6666666666666667</v>
      </c>
    </row>
    <row r="22" spans="1:3" x14ac:dyDescent="0.25">
      <c r="A22" s="373" t="s">
        <v>567</v>
      </c>
      <c r="B22">
        <v>20</v>
      </c>
      <c r="C22">
        <f t="shared" si="2"/>
        <v>0.33333333333333331</v>
      </c>
    </row>
    <row r="23" spans="1:3" x14ac:dyDescent="0.25">
      <c r="A23" s="373" t="s">
        <v>619</v>
      </c>
      <c r="B23">
        <v>15</v>
      </c>
      <c r="C23">
        <f t="shared" si="2"/>
        <v>0.25</v>
      </c>
    </row>
    <row r="24" spans="1:3" x14ac:dyDescent="0.25">
      <c r="A24" s="373" t="s">
        <v>620</v>
      </c>
      <c r="B24">
        <v>60</v>
      </c>
      <c r="C24">
        <f t="shared" si="2"/>
        <v>1</v>
      </c>
    </row>
    <row r="25" spans="1:3" x14ac:dyDescent="0.25">
      <c r="A25" s="373" t="s">
        <v>621</v>
      </c>
      <c r="B25">
        <v>60</v>
      </c>
      <c r="C25">
        <f t="shared" si="2"/>
        <v>1</v>
      </c>
    </row>
    <row r="26" spans="1:3" x14ac:dyDescent="0.25">
      <c r="A26" s="374" t="s">
        <v>579</v>
      </c>
      <c r="B26">
        <v>6</v>
      </c>
      <c r="C26">
        <f t="shared" si="2"/>
        <v>0.1</v>
      </c>
    </row>
    <row r="27" spans="1:3" x14ac:dyDescent="0.25">
      <c r="A27" s="373" t="s">
        <v>582</v>
      </c>
      <c r="B27">
        <v>19</v>
      </c>
      <c r="C27">
        <f t="shared" si="2"/>
        <v>0.31666666666666665</v>
      </c>
    </row>
    <row r="28" spans="1:3" x14ac:dyDescent="0.25">
      <c r="A28" s="373" t="s">
        <v>584</v>
      </c>
      <c r="B28">
        <v>10</v>
      </c>
      <c r="C28">
        <f t="shared" si="2"/>
        <v>0.16666666666666666</v>
      </c>
    </row>
    <row r="29" spans="1:3" x14ac:dyDescent="0.25">
      <c r="A29" s="373" t="s">
        <v>622</v>
      </c>
      <c r="B29">
        <v>11</v>
      </c>
      <c r="C29">
        <f t="shared" si="2"/>
        <v>0.18333333333333332</v>
      </c>
    </row>
    <row r="30" spans="1:3" x14ac:dyDescent="0.25">
      <c r="A30" s="373" t="s">
        <v>589</v>
      </c>
      <c r="B30">
        <v>20</v>
      </c>
      <c r="C30">
        <f t="shared" si="2"/>
        <v>0.33333333333333331</v>
      </c>
    </row>
    <row r="31" spans="1:3" x14ac:dyDescent="0.25">
      <c r="A31" s="373" t="s">
        <v>591</v>
      </c>
      <c r="B31">
        <v>20</v>
      </c>
      <c r="C31">
        <f t="shared" si="2"/>
        <v>0.33333333333333331</v>
      </c>
    </row>
    <row r="32" spans="1:3" x14ac:dyDescent="0.25">
      <c r="A32" s="373" t="s">
        <v>594</v>
      </c>
      <c r="B32">
        <v>13</v>
      </c>
      <c r="C32">
        <f t="shared" si="2"/>
        <v>0.21666666666666667</v>
      </c>
    </row>
    <row r="33" spans="1:3" x14ac:dyDescent="0.25">
      <c r="A33" s="373" t="s">
        <v>602</v>
      </c>
      <c r="B33">
        <v>29</v>
      </c>
      <c r="C33">
        <f t="shared" si="2"/>
        <v>0.48333333333333334</v>
      </c>
    </row>
    <row r="34" spans="1:3" x14ac:dyDescent="0.25">
      <c r="A34" s="373" t="s">
        <v>604</v>
      </c>
      <c r="B34">
        <v>36</v>
      </c>
      <c r="C34">
        <f t="shared" si="2"/>
        <v>0.6</v>
      </c>
    </row>
    <row r="35" spans="1:3" x14ac:dyDescent="0.25">
      <c r="A35" s="373" t="s">
        <v>608</v>
      </c>
      <c r="B35">
        <v>24</v>
      </c>
      <c r="C35">
        <f t="shared" si="2"/>
        <v>0.4</v>
      </c>
    </row>
    <row r="36" spans="1:3" x14ac:dyDescent="0.25">
      <c r="A36" s="373" t="s">
        <v>611</v>
      </c>
      <c r="B36">
        <v>16</v>
      </c>
      <c r="C36">
        <f t="shared" si="2"/>
        <v>0.26666666666666666</v>
      </c>
    </row>
    <row r="37" spans="1:3" x14ac:dyDescent="0.25">
      <c r="A37" s="29" t="s">
        <v>244</v>
      </c>
      <c r="B37">
        <v>5</v>
      </c>
      <c r="C37">
        <f t="shared" si="2"/>
        <v>8.3333333333333329E-2</v>
      </c>
    </row>
    <row r="38" spans="1:3" x14ac:dyDescent="0.25">
      <c r="A38" s="29" t="s">
        <v>240</v>
      </c>
      <c r="B38">
        <v>8</v>
      </c>
      <c r="C38">
        <f t="shared" si="2"/>
        <v>0.13333333333333333</v>
      </c>
    </row>
    <row r="39" spans="1:3" x14ac:dyDescent="0.25">
      <c r="A39" s="29" t="s">
        <v>513</v>
      </c>
      <c r="B39">
        <v>15</v>
      </c>
      <c r="C39">
        <f t="shared" si="2"/>
        <v>0.25</v>
      </c>
    </row>
    <row r="40" spans="1:3" x14ac:dyDescent="0.25">
      <c r="A40" s="29" t="s">
        <v>100</v>
      </c>
      <c r="B40">
        <v>12</v>
      </c>
      <c r="C40">
        <f>+B40/60</f>
        <v>0.2</v>
      </c>
    </row>
    <row r="41" spans="1:3" x14ac:dyDescent="0.25">
      <c r="A41" s="29" t="s">
        <v>239</v>
      </c>
      <c r="B41">
        <v>35</v>
      </c>
      <c r="C41">
        <f>+B41/60</f>
        <v>0.58333333333333337</v>
      </c>
    </row>
    <row r="42" spans="1:3" x14ac:dyDescent="0.25">
      <c r="A42" s="29" t="s">
        <v>242</v>
      </c>
      <c r="B42">
        <v>17</v>
      </c>
      <c r="C42">
        <f>+B42/60</f>
        <v>0.28333333333333333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13" zoomScaleNormal="100" workbookViewId="0">
      <selection activeCell="A4" sqref="A4:XFD7"/>
    </sheetView>
  </sheetViews>
  <sheetFormatPr baseColWidth="10" defaultRowHeight="15" x14ac:dyDescent="0.25"/>
  <cols>
    <col min="1" max="1" width="35" style="4" customWidth="1"/>
    <col min="2" max="2" width="19.5703125" style="4" customWidth="1"/>
    <col min="3" max="4" width="16.28515625" style="4" customWidth="1"/>
    <col min="5" max="5" width="17.140625" customWidth="1"/>
    <col min="7" max="7" width="12.42578125" customWidth="1"/>
    <col min="8" max="8" width="16.7109375" customWidth="1"/>
  </cols>
  <sheetData>
    <row r="1" spans="1:8" ht="15.75" x14ac:dyDescent="0.25">
      <c r="A1" s="12" t="s">
        <v>702</v>
      </c>
      <c r="B1" s="12"/>
      <c r="C1" s="12"/>
      <c r="D1" s="12"/>
      <c r="E1" s="13"/>
      <c r="F1" s="13"/>
      <c r="G1" s="13"/>
      <c r="H1" s="13"/>
    </row>
    <row r="2" spans="1:8" ht="15.75" x14ac:dyDescent="0.25">
      <c r="A2" s="582" t="s">
        <v>704</v>
      </c>
      <c r="B2" s="582"/>
      <c r="C2" s="582"/>
      <c r="D2" s="582"/>
      <c r="E2" s="582"/>
      <c r="F2" s="582"/>
      <c r="G2" s="582"/>
      <c r="H2" s="582"/>
    </row>
    <row r="3" spans="1:8" ht="35.25" customHeight="1" x14ac:dyDescent="0.25">
      <c r="A3" s="328" t="s">
        <v>699</v>
      </c>
      <c r="B3" s="442" t="s">
        <v>630</v>
      </c>
      <c r="C3" s="442" t="s">
        <v>633</v>
      </c>
      <c r="D3" s="442" t="s">
        <v>514</v>
      </c>
      <c r="E3" s="95" t="s">
        <v>632</v>
      </c>
      <c r="F3" s="442" t="s">
        <v>634</v>
      </c>
      <c r="G3" s="95" t="s">
        <v>631</v>
      </c>
      <c r="H3" s="95" t="s">
        <v>698</v>
      </c>
    </row>
    <row r="4" spans="1:8" ht="15.75" x14ac:dyDescent="0.25">
      <c r="A4" s="14" t="s">
        <v>244</v>
      </c>
      <c r="B4" s="429">
        <v>1279</v>
      </c>
      <c r="C4" s="444">
        <f>+'hojas de costos 2'!Q606</f>
        <v>0.71164168716017218</v>
      </c>
      <c r="D4" s="429">
        <v>7.58</v>
      </c>
      <c r="E4" s="445">
        <f>+D4*B4</f>
        <v>9694.82</v>
      </c>
      <c r="F4" s="445">
        <f>+B4*C4</f>
        <v>910.18971787786018</v>
      </c>
      <c r="G4" s="445">
        <f>+E4-F4</f>
        <v>8784.6302821221398</v>
      </c>
      <c r="H4" s="446">
        <f>+G4/$G$45</f>
        <v>0.12284212943264476</v>
      </c>
    </row>
    <row r="5" spans="1:8" ht="15.75" x14ac:dyDescent="0.25">
      <c r="A5" s="14" t="s">
        <v>240</v>
      </c>
      <c r="B5" s="429">
        <v>993</v>
      </c>
      <c r="C5" s="444">
        <f>+'hojas de costos 2'!Q620</f>
        <v>1.1328566994562754</v>
      </c>
      <c r="D5" s="429">
        <v>3.64</v>
      </c>
      <c r="E5" s="445">
        <f>+D5*B5</f>
        <v>3614.52</v>
      </c>
      <c r="F5" s="445">
        <f t="shared" ref="F5:F44" si="0">+B5*C5</f>
        <v>1124.9267025600816</v>
      </c>
      <c r="G5" s="445">
        <f t="shared" ref="G5:G44" si="1">+E5-F5</f>
        <v>2489.5932974399184</v>
      </c>
      <c r="H5" s="446">
        <f t="shared" ref="H5:H43" si="2">+G5/$G$45</f>
        <v>3.4813866065730364E-2</v>
      </c>
    </row>
    <row r="6" spans="1:8" ht="15.75" x14ac:dyDescent="0.25">
      <c r="A6" s="14" t="s">
        <v>513</v>
      </c>
      <c r="B6" s="429">
        <v>1183</v>
      </c>
      <c r="C6" s="444">
        <f>+'hojas de costos 2'!Q634</f>
        <v>2.7015150696779187</v>
      </c>
      <c r="D6" s="429">
        <v>10.93</v>
      </c>
      <c r="E6" s="445">
        <f t="shared" ref="E6:E44" si="3">+D6*B6</f>
        <v>12930.19</v>
      </c>
      <c r="F6" s="445">
        <f t="shared" si="0"/>
        <v>3195.8923274289778</v>
      </c>
      <c r="G6" s="445">
        <f t="shared" si="1"/>
        <v>9734.2976725710232</v>
      </c>
      <c r="H6" s="446">
        <f t="shared" si="2"/>
        <v>0.13612204682801884</v>
      </c>
    </row>
    <row r="7" spans="1:8" ht="15.75" x14ac:dyDescent="0.25">
      <c r="A7" s="14" t="s">
        <v>100</v>
      </c>
      <c r="B7" s="429">
        <v>700</v>
      </c>
      <c r="C7" s="444">
        <f>+'hojas de costos 2'!Q652</f>
        <v>2.3526683948138496</v>
      </c>
      <c r="D7" s="429">
        <v>15.47</v>
      </c>
      <c r="E7" s="445">
        <f t="shared" si="3"/>
        <v>10829</v>
      </c>
      <c r="F7" s="445">
        <f t="shared" si="0"/>
        <v>1646.8678763696946</v>
      </c>
      <c r="G7" s="445">
        <f t="shared" si="1"/>
        <v>9182.1321236303047</v>
      </c>
      <c r="H7" s="446">
        <f t="shared" si="2"/>
        <v>0.12840069833037471</v>
      </c>
    </row>
    <row r="8" spans="1:8" ht="15.75" x14ac:dyDescent="0.25">
      <c r="A8" s="14" t="s">
        <v>239</v>
      </c>
      <c r="B8" s="429">
        <v>495</v>
      </c>
      <c r="C8" s="444">
        <f>+'hojas de costos 2'!Q671</f>
        <v>5.0902501434545382</v>
      </c>
      <c r="D8" s="429">
        <v>9.33</v>
      </c>
      <c r="E8" s="445">
        <f t="shared" si="3"/>
        <v>4618.3500000000004</v>
      </c>
      <c r="F8" s="445">
        <f t="shared" si="0"/>
        <v>2519.6738210099966</v>
      </c>
      <c r="G8" s="445">
        <f t="shared" si="1"/>
        <v>2098.6761789900038</v>
      </c>
      <c r="H8" s="446">
        <f t="shared" si="2"/>
        <v>2.9347376330836221E-2</v>
      </c>
    </row>
    <row r="9" spans="1:8" ht="15.75" x14ac:dyDescent="0.25">
      <c r="A9" s="14" t="s">
        <v>242</v>
      </c>
      <c r="B9" s="429">
        <v>614</v>
      </c>
      <c r="C9" s="444">
        <f>+'hojas de costos 2'!Q688</f>
        <v>2.2096633825177463</v>
      </c>
      <c r="D9" s="429">
        <v>9.33</v>
      </c>
      <c r="E9" s="445">
        <f t="shared" si="3"/>
        <v>5728.62</v>
      </c>
      <c r="F9" s="445">
        <f t="shared" si="0"/>
        <v>1356.7333168658963</v>
      </c>
      <c r="G9" s="445">
        <f t="shared" si="1"/>
        <v>4371.8866831341038</v>
      </c>
      <c r="H9" s="446">
        <f t="shared" si="2"/>
        <v>6.1135398138198904E-2</v>
      </c>
    </row>
    <row r="10" spans="1:8" ht="15.75" x14ac:dyDescent="0.25">
      <c r="A10" s="14" t="s">
        <v>515</v>
      </c>
      <c r="B10" s="429">
        <v>225</v>
      </c>
      <c r="C10" s="444">
        <f>+'hojas de costos 2'!Q12</f>
        <v>1.4584200327896089</v>
      </c>
      <c r="D10" s="429">
        <v>9.16</v>
      </c>
      <c r="E10" s="445">
        <f t="shared" si="3"/>
        <v>2061</v>
      </c>
      <c r="F10" s="445">
        <f t="shared" si="0"/>
        <v>328.14450737766197</v>
      </c>
      <c r="G10" s="445">
        <f t="shared" si="1"/>
        <v>1732.855492622338</v>
      </c>
      <c r="H10" s="446">
        <f t="shared" si="2"/>
        <v>2.423182898727063E-2</v>
      </c>
    </row>
    <row r="11" spans="1:8" ht="15.75" x14ac:dyDescent="0.25">
      <c r="A11" s="14" t="s">
        <v>517</v>
      </c>
      <c r="B11" s="429">
        <v>296</v>
      </c>
      <c r="C11" s="444">
        <f>+'hojas de costos 2'!Q30</f>
        <v>11.180646994562755</v>
      </c>
      <c r="D11" s="429">
        <v>25.94</v>
      </c>
      <c r="E11" s="445">
        <f t="shared" si="3"/>
        <v>7678.2400000000007</v>
      </c>
      <c r="F11" s="445">
        <f t="shared" si="0"/>
        <v>3309.4715103905755</v>
      </c>
      <c r="G11" s="445">
        <f t="shared" si="1"/>
        <v>4368.7684896094252</v>
      </c>
      <c r="H11" s="446">
        <f t="shared" si="2"/>
        <v>6.1091794079718022E-2</v>
      </c>
    </row>
    <row r="12" spans="1:8" ht="15.75" x14ac:dyDescent="0.25">
      <c r="A12" s="14" t="s">
        <v>521</v>
      </c>
      <c r="B12" s="429">
        <v>52</v>
      </c>
      <c r="C12" s="444">
        <f>+'hojas de costos 2'!Q47</f>
        <v>2.6089250614805168</v>
      </c>
      <c r="D12" s="429">
        <v>11.31</v>
      </c>
      <c r="E12" s="445">
        <f t="shared" si="3"/>
        <v>588.12</v>
      </c>
      <c r="F12" s="445">
        <f t="shared" si="0"/>
        <v>135.66410319698687</v>
      </c>
      <c r="G12" s="445">
        <f t="shared" si="1"/>
        <v>452.45589680301316</v>
      </c>
      <c r="H12" s="446">
        <f t="shared" si="2"/>
        <v>6.3270330170585457E-3</v>
      </c>
    </row>
    <row r="13" spans="1:8" ht="15.75" x14ac:dyDescent="0.25">
      <c r="A13" s="14" t="s">
        <v>135</v>
      </c>
      <c r="B13" s="429">
        <v>51</v>
      </c>
      <c r="C13" s="444">
        <f>+'hojas de costos 2'!Q60</f>
        <v>2.1150683866164477</v>
      </c>
      <c r="D13" s="429">
        <v>4</v>
      </c>
      <c r="E13" s="445">
        <f t="shared" si="3"/>
        <v>204</v>
      </c>
      <c r="F13" s="445">
        <f t="shared" si="0"/>
        <v>107.86848771743884</v>
      </c>
      <c r="G13" s="445">
        <f t="shared" si="1"/>
        <v>96.131512282561161</v>
      </c>
      <c r="H13" s="446">
        <f t="shared" si="2"/>
        <v>1.3442796446884169E-3</v>
      </c>
    </row>
    <row r="14" spans="1:8" ht="15.75" x14ac:dyDescent="0.25">
      <c r="A14" s="14" t="s">
        <v>615</v>
      </c>
      <c r="B14" s="429">
        <v>29</v>
      </c>
      <c r="C14" s="444">
        <f>+'hojas de costos 2'!Q74</f>
        <v>2.3415700245922069</v>
      </c>
      <c r="D14" s="429">
        <v>8.4600000000000009</v>
      </c>
      <c r="E14" s="445">
        <f t="shared" si="3"/>
        <v>245.34000000000003</v>
      </c>
      <c r="F14" s="445">
        <f t="shared" si="0"/>
        <v>67.905530713174002</v>
      </c>
      <c r="G14" s="445">
        <f t="shared" si="1"/>
        <v>177.43446928682602</v>
      </c>
      <c r="H14" s="446">
        <f t="shared" si="2"/>
        <v>2.4812003854394952E-3</v>
      </c>
    </row>
    <row r="15" spans="1:8" ht="16.5" customHeight="1" x14ac:dyDescent="0.25">
      <c r="A15" s="312" t="s">
        <v>526</v>
      </c>
      <c r="B15" s="429">
        <v>98</v>
      </c>
      <c r="C15" s="444">
        <f>+'hojas de costos 2'!Q88</f>
        <v>1.2844050368883098</v>
      </c>
      <c r="D15" s="429">
        <v>7.29</v>
      </c>
      <c r="E15" s="445">
        <f t="shared" si="3"/>
        <v>714.42</v>
      </c>
      <c r="F15" s="445">
        <f t="shared" si="0"/>
        <v>125.87169361505435</v>
      </c>
      <c r="G15" s="445">
        <f t="shared" si="1"/>
        <v>588.54830638494559</v>
      </c>
      <c r="H15" s="446">
        <f t="shared" si="2"/>
        <v>8.2301161128477112E-3</v>
      </c>
    </row>
    <row r="16" spans="1:8" ht="15.75" x14ac:dyDescent="0.25">
      <c r="A16" s="14" t="s">
        <v>529</v>
      </c>
      <c r="B16" s="429">
        <v>46</v>
      </c>
      <c r="C16" s="444">
        <f>+'hojas de costos 2'!Q105</f>
        <v>1.3322850368883099</v>
      </c>
      <c r="D16" s="429">
        <v>12.89</v>
      </c>
      <c r="E16" s="445">
        <f t="shared" si="3"/>
        <v>592.94000000000005</v>
      </c>
      <c r="F16" s="445">
        <f t="shared" si="0"/>
        <v>61.285111696862259</v>
      </c>
      <c r="G16" s="445">
        <f t="shared" si="1"/>
        <v>531.6548883031378</v>
      </c>
      <c r="H16" s="446">
        <f t="shared" si="2"/>
        <v>7.4345324168446653E-3</v>
      </c>
    </row>
    <row r="17" spans="1:8" ht="15.75" x14ac:dyDescent="0.25">
      <c r="A17" s="405" t="s">
        <v>530</v>
      </c>
      <c r="B17" s="429">
        <v>432</v>
      </c>
      <c r="C17" s="444">
        <f>+'hojas de costos 2'!Q121</f>
        <v>1.9520650450857122</v>
      </c>
      <c r="D17" s="429">
        <v>9.1199999999999992</v>
      </c>
      <c r="E17" s="445">
        <f t="shared" si="3"/>
        <v>3939.8399999999997</v>
      </c>
      <c r="F17" s="445">
        <f t="shared" si="0"/>
        <v>843.2920994770277</v>
      </c>
      <c r="G17" s="445">
        <f t="shared" si="1"/>
        <v>3096.5479005229718</v>
      </c>
      <c r="H17" s="446">
        <f t="shared" si="2"/>
        <v>4.3301371346789991E-2</v>
      </c>
    </row>
    <row r="18" spans="1:8" ht="15.75" x14ac:dyDescent="0.25">
      <c r="A18" s="405" t="s">
        <v>534</v>
      </c>
      <c r="B18" s="429">
        <v>34</v>
      </c>
      <c r="C18" s="444">
        <f>+'hojas de costos 2'!Q140</f>
        <v>0.99491273135912395</v>
      </c>
      <c r="D18" s="429">
        <v>19.670000000000002</v>
      </c>
      <c r="E18" s="445">
        <f t="shared" si="3"/>
        <v>668.78000000000009</v>
      </c>
      <c r="F18" s="445">
        <f t="shared" si="0"/>
        <v>33.827032866210217</v>
      </c>
      <c r="G18" s="445">
        <f t="shared" si="1"/>
        <v>634.95296713378991</v>
      </c>
      <c r="H18" s="446">
        <f t="shared" si="2"/>
        <v>8.8790275819608331E-3</v>
      </c>
    </row>
    <row r="19" spans="1:8" s="4" customFormat="1" ht="15.75" x14ac:dyDescent="0.25">
      <c r="A19" s="405" t="s">
        <v>116</v>
      </c>
      <c r="B19" s="429">
        <v>21</v>
      </c>
      <c r="C19" s="444">
        <f>+'hojas de costos 2'!Q155</f>
        <v>11.547556953575743</v>
      </c>
      <c r="D19" s="429">
        <v>22.18</v>
      </c>
      <c r="E19" s="444">
        <f t="shared" si="3"/>
        <v>465.78</v>
      </c>
      <c r="F19" s="444">
        <f t="shared" si="0"/>
        <v>242.4986960250906</v>
      </c>
      <c r="G19" s="444">
        <f t="shared" si="1"/>
        <v>223.28130397490938</v>
      </c>
      <c r="H19" s="446">
        <f t="shared" si="2"/>
        <v>3.1223113508369003E-3</v>
      </c>
    </row>
    <row r="20" spans="1:8" ht="15.75" x14ac:dyDescent="0.25">
      <c r="A20" s="405" t="s">
        <v>539</v>
      </c>
      <c r="B20" s="429">
        <v>24</v>
      </c>
      <c r="C20" s="444">
        <f>+'hojas de costos 2'!Q177</f>
        <v>18.040773825177467</v>
      </c>
      <c r="D20" s="429">
        <v>14.76</v>
      </c>
      <c r="E20" s="445">
        <f t="shared" si="3"/>
        <v>354.24</v>
      </c>
      <c r="F20" s="445">
        <f t="shared" si="0"/>
        <v>432.97857180425922</v>
      </c>
      <c r="G20" s="445">
        <f t="shared" si="1"/>
        <v>-78.738571804259209</v>
      </c>
      <c r="H20" s="446">
        <f t="shared" si="2"/>
        <v>-1.1010610029434042E-3</v>
      </c>
    </row>
    <row r="21" spans="1:8" ht="15.75" x14ac:dyDescent="0.25">
      <c r="A21" s="405" t="s">
        <v>112</v>
      </c>
      <c r="B21" s="429">
        <v>96</v>
      </c>
      <c r="C21" s="444">
        <f>+'hojas de costos 2'!Q196</f>
        <v>18.195673825177465</v>
      </c>
      <c r="D21" s="429">
        <v>18.84</v>
      </c>
      <c r="E21" s="445">
        <f t="shared" si="3"/>
        <v>1808.6399999999999</v>
      </c>
      <c r="F21" s="445">
        <f t="shared" si="0"/>
        <v>1746.7846872170367</v>
      </c>
      <c r="G21" s="445">
        <f t="shared" si="1"/>
        <v>61.85531278296321</v>
      </c>
      <c r="H21" s="446">
        <f t="shared" si="2"/>
        <v>8.6496962250594647E-4</v>
      </c>
    </row>
    <row r="22" spans="1:8" ht="15.75" x14ac:dyDescent="0.25">
      <c r="A22" s="405" t="s">
        <v>113</v>
      </c>
      <c r="B22" s="429">
        <v>144</v>
      </c>
      <c r="C22" s="444">
        <f>+'hojas de costos 2'!Q216</f>
        <v>10.93961526641557</v>
      </c>
      <c r="D22" s="429">
        <v>18.84</v>
      </c>
      <c r="E22" s="445">
        <f t="shared" si="3"/>
        <v>2712.96</v>
      </c>
      <c r="F22" s="445">
        <f t="shared" si="0"/>
        <v>1575.3045983638422</v>
      </c>
      <c r="G22" s="445">
        <f t="shared" si="1"/>
        <v>1137.6554016361579</v>
      </c>
      <c r="H22" s="446">
        <f t="shared" si="2"/>
        <v>1.5908695939310026E-2</v>
      </c>
    </row>
    <row r="23" spans="1:8" ht="15.75" x14ac:dyDescent="0.25">
      <c r="A23" s="405" t="s">
        <v>550</v>
      </c>
      <c r="B23" s="429">
        <v>326</v>
      </c>
      <c r="C23" s="444">
        <f>+'hojas de costos 2'!Q235</f>
        <v>2.0835950614805165</v>
      </c>
      <c r="D23" s="429">
        <v>6.45</v>
      </c>
      <c r="E23" s="445">
        <f t="shared" si="3"/>
        <v>2102.7000000000003</v>
      </c>
      <c r="F23" s="445">
        <f t="shared" si="0"/>
        <v>679.25199004264834</v>
      </c>
      <c r="G23" s="445">
        <f t="shared" si="1"/>
        <v>1423.448009957352</v>
      </c>
      <c r="H23" s="446">
        <f t="shared" si="2"/>
        <v>1.9905150138837733E-2</v>
      </c>
    </row>
    <row r="24" spans="1:8" ht="15.75" x14ac:dyDescent="0.25">
      <c r="A24" s="405" t="s">
        <v>616</v>
      </c>
      <c r="B24" s="429">
        <v>230</v>
      </c>
      <c r="C24" s="444">
        <f>+'hojas de costos 2'!Q249</f>
        <v>2.0671933825177469</v>
      </c>
      <c r="D24" s="429">
        <v>8.99</v>
      </c>
      <c r="E24" s="445">
        <f t="shared" si="3"/>
        <v>2067.7000000000003</v>
      </c>
      <c r="F24" s="445">
        <f t="shared" si="0"/>
        <v>475.45447797908179</v>
      </c>
      <c r="G24" s="445">
        <f t="shared" si="1"/>
        <v>1592.2455220209185</v>
      </c>
      <c r="H24" s="446">
        <f t="shared" si="2"/>
        <v>2.2265573418918213E-2</v>
      </c>
    </row>
    <row r="25" spans="1:8" ht="15.75" x14ac:dyDescent="0.25">
      <c r="A25" s="405" t="s">
        <v>554</v>
      </c>
      <c r="B25" s="429">
        <v>53</v>
      </c>
      <c r="C25" s="444">
        <f>+'hojas de costos 2'!Q266</f>
        <v>2.6031400491844137</v>
      </c>
      <c r="D25" s="429">
        <v>16.46</v>
      </c>
      <c r="E25" s="445">
        <f t="shared" si="3"/>
        <v>872.38</v>
      </c>
      <c r="F25" s="445">
        <f t="shared" si="0"/>
        <v>137.96642260677393</v>
      </c>
      <c r="G25" s="445">
        <f t="shared" si="1"/>
        <v>734.41357739322609</v>
      </c>
      <c r="H25" s="446">
        <f t="shared" si="2"/>
        <v>1.0269860521601401E-2</v>
      </c>
    </row>
    <row r="26" spans="1:8" ht="15.75" x14ac:dyDescent="0.25">
      <c r="A26" s="405" t="s">
        <v>556</v>
      </c>
      <c r="B26" s="429">
        <v>59</v>
      </c>
      <c r="C26" s="444">
        <f>+'hojas de costos 2'!Q280</f>
        <v>12.136050368883097</v>
      </c>
      <c r="D26" s="429">
        <v>17.600000000000001</v>
      </c>
      <c r="E26" s="445">
        <f t="shared" si="3"/>
        <v>1038.4000000000001</v>
      </c>
      <c r="F26" s="445">
        <f t="shared" si="0"/>
        <v>716.02697176410277</v>
      </c>
      <c r="G26" s="445">
        <f t="shared" si="1"/>
        <v>322.37302823589732</v>
      </c>
      <c r="H26" s="446">
        <f t="shared" si="2"/>
        <v>4.5079858785566519E-3</v>
      </c>
    </row>
    <row r="27" spans="1:8" ht="15.75" x14ac:dyDescent="0.25">
      <c r="A27" s="405" t="s">
        <v>624</v>
      </c>
      <c r="B27" s="429">
        <v>42</v>
      </c>
      <c r="C27" s="444">
        <f>+'hojas de costos 2'!Q297</f>
        <v>2.3159250614805167</v>
      </c>
      <c r="D27" s="429">
        <v>11.36</v>
      </c>
      <c r="E27" s="445">
        <f t="shared" si="3"/>
        <v>477.12</v>
      </c>
      <c r="F27" s="445">
        <f t="shared" si="0"/>
        <v>97.268852582181694</v>
      </c>
      <c r="G27" s="445">
        <f t="shared" si="1"/>
        <v>379.85114741781831</v>
      </c>
      <c r="H27" s="446">
        <f t="shared" si="2"/>
        <v>5.3117458922774374E-3</v>
      </c>
    </row>
    <row r="28" spans="1:8" ht="15.75" x14ac:dyDescent="0.25">
      <c r="A28" s="405" t="s">
        <v>562</v>
      </c>
      <c r="B28" s="429">
        <v>229</v>
      </c>
      <c r="C28" s="444">
        <f>+'hojas de costos 2'!Q312</f>
        <v>4.9984884562943659</v>
      </c>
      <c r="D28" s="429">
        <v>8.99</v>
      </c>
      <c r="E28" s="445">
        <f t="shared" si="3"/>
        <v>2058.71</v>
      </c>
      <c r="F28" s="445">
        <f t="shared" si="0"/>
        <v>1144.6538564914099</v>
      </c>
      <c r="G28" s="445">
        <f t="shared" si="1"/>
        <v>914.05614350859014</v>
      </c>
      <c r="H28" s="446">
        <f>+G28/$G$45</f>
        <v>1.2781938395073958E-2</v>
      </c>
    </row>
    <row r="29" spans="1:8" ht="15.75" x14ac:dyDescent="0.25">
      <c r="A29" s="405" t="s">
        <v>115</v>
      </c>
      <c r="B29" s="429">
        <v>47</v>
      </c>
      <c r="C29" s="444">
        <f>+'hojas de costos 2'!Q332</f>
        <v>16.187307076536776</v>
      </c>
      <c r="D29" s="429">
        <v>14.38</v>
      </c>
      <c r="E29" s="445">
        <f t="shared" si="3"/>
        <v>675.86</v>
      </c>
      <c r="F29" s="445">
        <f t="shared" si="0"/>
        <v>760.80343259722849</v>
      </c>
      <c r="G29" s="445">
        <f t="shared" si="1"/>
        <v>-84.94343259722848</v>
      </c>
      <c r="H29" s="446">
        <f t="shared" si="2"/>
        <v>-1.1878282644174228E-3</v>
      </c>
    </row>
    <row r="30" spans="1:8" ht="15.75" x14ac:dyDescent="0.25">
      <c r="A30" s="405" t="s">
        <v>625</v>
      </c>
      <c r="B30" s="429">
        <v>47</v>
      </c>
      <c r="C30" s="444">
        <f>+'hojas de costos 2'!Q351</f>
        <v>4.580616748640689</v>
      </c>
      <c r="D30" s="429">
        <v>15.06</v>
      </c>
      <c r="E30" s="445">
        <f t="shared" si="3"/>
        <v>707.82</v>
      </c>
      <c r="F30" s="445">
        <f t="shared" si="0"/>
        <v>215.28898718611239</v>
      </c>
      <c r="G30" s="445">
        <f t="shared" si="1"/>
        <v>492.53101281388763</v>
      </c>
      <c r="H30" s="446">
        <f t="shared" si="2"/>
        <v>6.8874336747908197E-3</v>
      </c>
    </row>
    <row r="31" spans="1:8" ht="15.75" x14ac:dyDescent="0.25">
      <c r="A31" s="405" t="s">
        <v>570</v>
      </c>
      <c r="B31" s="429">
        <v>295</v>
      </c>
      <c r="C31" s="444">
        <f>+'hojas de costos 2'!Q372</f>
        <v>2.1399250614805165</v>
      </c>
      <c r="D31" s="429">
        <v>6.69</v>
      </c>
      <c r="E31" s="445">
        <f t="shared" si="3"/>
        <v>1973.5500000000002</v>
      </c>
      <c r="F31" s="445">
        <f t="shared" si="0"/>
        <v>631.27789313675237</v>
      </c>
      <c r="G31" s="445">
        <f t="shared" si="1"/>
        <v>1342.2721068632477</v>
      </c>
      <c r="H31" s="446">
        <f t="shared" si="2"/>
        <v>1.8770006089008823E-2</v>
      </c>
    </row>
    <row r="32" spans="1:8" ht="15.75" x14ac:dyDescent="0.25">
      <c r="A32" s="405" t="s">
        <v>119</v>
      </c>
      <c r="B32" s="429">
        <v>23</v>
      </c>
      <c r="C32" s="444">
        <f>+'hojas de costos 2'!Q386</f>
        <v>11.636300245922065</v>
      </c>
      <c r="D32" s="429">
        <v>14.9</v>
      </c>
      <c r="E32" s="445">
        <f t="shared" si="3"/>
        <v>342.7</v>
      </c>
      <c r="F32" s="445">
        <f t="shared" si="0"/>
        <v>267.63490565620748</v>
      </c>
      <c r="G32" s="445">
        <f t="shared" si="1"/>
        <v>75.065094343792509</v>
      </c>
      <c r="H32" s="446">
        <f t="shared" si="2"/>
        <v>1.049691989203017E-3</v>
      </c>
    </row>
    <row r="33" spans="1:8" ht="15.75" x14ac:dyDescent="0.25">
      <c r="A33" s="405" t="s">
        <v>575</v>
      </c>
      <c r="B33" s="429">
        <v>18</v>
      </c>
      <c r="C33" s="444">
        <f>+'hojas de costos 2'!Q406</f>
        <v>15.401213579255401</v>
      </c>
      <c r="D33" s="429">
        <v>14.9</v>
      </c>
      <c r="E33" s="445">
        <f t="shared" si="3"/>
        <v>268.2</v>
      </c>
      <c r="F33" s="445">
        <f t="shared" si="0"/>
        <v>277.22184442659722</v>
      </c>
      <c r="G33" s="445">
        <f t="shared" si="1"/>
        <v>-9.0218444265972266</v>
      </c>
      <c r="H33" s="446">
        <f t="shared" si="2"/>
        <v>-1.2615927423020854E-4</v>
      </c>
    </row>
    <row r="34" spans="1:8" ht="15.75" x14ac:dyDescent="0.25">
      <c r="A34" s="353" t="s">
        <v>579</v>
      </c>
      <c r="B34" s="429">
        <v>21</v>
      </c>
      <c r="C34" s="444">
        <f>+'hojas de costos 2'!Q425</f>
        <v>2.2915700245922066</v>
      </c>
      <c r="D34" s="429">
        <v>13.51</v>
      </c>
      <c r="E34" s="445">
        <f t="shared" si="3"/>
        <v>283.70999999999998</v>
      </c>
      <c r="F34" s="445">
        <f t="shared" si="0"/>
        <v>48.122970516436339</v>
      </c>
      <c r="G34" s="445">
        <f t="shared" si="1"/>
        <v>235.58702948356364</v>
      </c>
      <c r="H34" s="446">
        <f t="shared" si="2"/>
        <v>3.2943916179795176E-3</v>
      </c>
    </row>
    <row r="35" spans="1:8" ht="15.75" x14ac:dyDescent="0.25">
      <c r="A35" s="405" t="s">
        <v>582</v>
      </c>
      <c r="B35" s="429">
        <v>43</v>
      </c>
      <c r="C35" s="444">
        <f>+'hojas de costos 2'!Q439</f>
        <v>2.915478411208654</v>
      </c>
      <c r="D35" s="429">
        <v>24.12</v>
      </c>
      <c r="E35" s="445">
        <f t="shared" si="3"/>
        <v>1037.1600000000001</v>
      </c>
      <c r="F35" s="445">
        <f t="shared" si="0"/>
        <v>125.36557168197213</v>
      </c>
      <c r="G35" s="445">
        <f t="shared" si="1"/>
        <v>911.79442831802794</v>
      </c>
      <c r="H35" s="446">
        <f t="shared" si="2"/>
        <v>1.2750311120930816E-2</v>
      </c>
    </row>
    <row r="36" spans="1:8" ht="15.75" x14ac:dyDescent="0.25">
      <c r="A36" s="405" t="s">
        <v>584</v>
      </c>
      <c r="B36" s="429">
        <v>40</v>
      </c>
      <c r="C36" s="444">
        <f>+'hojas de costos 2'!Q459</f>
        <v>1.735950040987011</v>
      </c>
      <c r="D36" s="429">
        <v>25.53</v>
      </c>
      <c r="E36" s="445">
        <f t="shared" si="3"/>
        <v>1021.2</v>
      </c>
      <c r="F36" s="445">
        <f t="shared" si="0"/>
        <v>69.438001639480433</v>
      </c>
      <c r="G36" s="445">
        <f t="shared" si="1"/>
        <v>951.76199836051956</v>
      </c>
      <c r="H36" s="446">
        <f t="shared" si="2"/>
        <v>1.3309207882045501E-2</v>
      </c>
    </row>
    <row r="37" spans="1:8" ht="15.75" x14ac:dyDescent="0.25">
      <c r="A37" s="405" t="s">
        <v>587</v>
      </c>
      <c r="B37" s="429">
        <v>50</v>
      </c>
      <c r="C37" s="444">
        <f>+'hojas de costos 2'!Q473</f>
        <v>1.9852117117523789</v>
      </c>
      <c r="D37" s="429">
        <v>6.69</v>
      </c>
      <c r="E37" s="445">
        <f t="shared" si="3"/>
        <v>334.5</v>
      </c>
      <c r="F37" s="445">
        <f t="shared" si="0"/>
        <v>99.260585587618948</v>
      </c>
      <c r="G37" s="445">
        <f t="shared" si="1"/>
        <v>235.23941441238105</v>
      </c>
      <c r="H37" s="446">
        <f>+G37/$G$45</f>
        <v>3.2895306535227829E-3</v>
      </c>
    </row>
    <row r="38" spans="1:8" ht="15.75" x14ac:dyDescent="0.25">
      <c r="A38" s="405" t="s">
        <v>589</v>
      </c>
      <c r="B38" s="429">
        <v>187</v>
      </c>
      <c r="C38" s="444">
        <f>+'hojas de costos 2'!Q487</f>
        <v>3.2596800819740217</v>
      </c>
      <c r="D38" s="429">
        <v>12.83</v>
      </c>
      <c r="E38" s="445">
        <f t="shared" si="3"/>
        <v>2399.21</v>
      </c>
      <c r="F38" s="445">
        <f t="shared" si="0"/>
        <v>609.56017532914211</v>
      </c>
      <c r="G38" s="445">
        <f t="shared" si="1"/>
        <v>1789.6498246708579</v>
      </c>
      <c r="H38" s="446">
        <f t="shared" si="2"/>
        <v>2.5026027088327137E-2</v>
      </c>
    </row>
    <row r="39" spans="1:8" ht="15.75" x14ac:dyDescent="0.25">
      <c r="A39" s="405" t="s">
        <v>591</v>
      </c>
      <c r="B39" s="429">
        <v>187</v>
      </c>
      <c r="C39" s="444">
        <f>+'hojas de costos 2'!Q504</f>
        <v>3.2596800819740217</v>
      </c>
      <c r="D39" s="429">
        <v>12.83</v>
      </c>
      <c r="E39" s="445">
        <f t="shared" si="3"/>
        <v>2399.21</v>
      </c>
      <c r="F39" s="445">
        <f t="shared" si="0"/>
        <v>609.56017532914211</v>
      </c>
      <c r="G39" s="445">
        <f t="shared" si="1"/>
        <v>1789.6498246708579</v>
      </c>
      <c r="H39" s="446">
        <f t="shared" si="2"/>
        <v>2.5026027088327137E-2</v>
      </c>
    </row>
    <row r="40" spans="1:8" ht="15.75" x14ac:dyDescent="0.25">
      <c r="A40" s="405" t="s">
        <v>705</v>
      </c>
      <c r="B40" s="429">
        <v>181</v>
      </c>
      <c r="C40" s="444">
        <f>+'hojas de costos 2'!Q521</f>
        <v>2.8328683866164477</v>
      </c>
      <c r="D40" s="429">
        <v>8.5</v>
      </c>
      <c r="E40" s="445">
        <f t="shared" si="3"/>
        <v>1538.5</v>
      </c>
      <c r="F40" s="445">
        <f t="shared" si="0"/>
        <v>512.74917797757701</v>
      </c>
      <c r="G40" s="445">
        <f t="shared" si="1"/>
        <v>1025.7508220224231</v>
      </c>
      <c r="H40" s="446">
        <f t="shared" si="2"/>
        <v>1.4343849564273365E-2</v>
      </c>
    </row>
    <row r="41" spans="1:8" ht="15.75" x14ac:dyDescent="0.25">
      <c r="A41" s="405" t="s">
        <v>626</v>
      </c>
      <c r="B41" s="429">
        <v>407</v>
      </c>
      <c r="C41" s="444">
        <f>+'hojas de costos 2'!Q538</f>
        <v>4.8047551188623316</v>
      </c>
      <c r="D41" s="429">
        <v>11.72</v>
      </c>
      <c r="E41" s="445">
        <f t="shared" si="3"/>
        <v>4770.04</v>
      </c>
      <c r="F41" s="445">
        <f t="shared" si="0"/>
        <v>1955.535333376969</v>
      </c>
      <c r="G41" s="445">
        <f t="shared" si="1"/>
        <v>2814.504666623031</v>
      </c>
      <c r="H41" s="446">
        <f t="shared" si="2"/>
        <v>3.9357347485609526E-2</v>
      </c>
    </row>
    <row r="42" spans="1:8" ht="15.75" x14ac:dyDescent="0.25">
      <c r="A42" s="405" t="s">
        <v>604</v>
      </c>
      <c r="B42" s="429">
        <v>178</v>
      </c>
      <c r="C42" s="444">
        <f>+'hojas de costos 2'!Q555</f>
        <v>5.5015734808865728</v>
      </c>
      <c r="D42" s="429">
        <v>15.36</v>
      </c>
      <c r="E42" s="445">
        <f t="shared" si="3"/>
        <v>2734.08</v>
      </c>
      <c r="F42" s="445">
        <f t="shared" si="0"/>
        <v>979.28007959780996</v>
      </c>
      <c r="G42" s="445">
        <f t="shared" si="1"/>
        <v>1754.7999204021899</v>
      </c>
      <c r="H42" s="446">
        <f t="shared" si="2"/>
        <v>2.4538694518440905E-2</v>
      </c>
    </row>
    <row r="43" spans="1:8" ht="15.75" x14ac:dyDescent="0.25">
      <c r="A43" s="405" t="s">
        <v>608</v>
      </c>
      <c r="B43" s="429">
        <v>282</v>
      </c>
      <c r="C43" s="444">
        <f>+'hojas de costos 2'!Q574</f>
        <v>3.5431134317021598</v>
      </c>
      <c r="D43" s="429">
        <v>9.33</v>
      </c>
      <c r="E43" s="445">
        <f t="shared" si="3"/>
        <v>2631.06</v>
      </c>
      <c r="F43" s="445">
        <f t="shared" si="0"/>
        <v>999.15798774000905</v>
      </c>
      <c r="G43" s="445">
        <f t="shared" si="1"/>
        <v>1631.9020122599909</v>
      </c>
      <c r="H43" s="446">
        <f t="shared" si="2"/>
        <v>2.282012011585851E-2</v>
      </c>
    </row>
    <row r="44" spans="1:8" ht="15.75" x14ac:dyDescent="0.25">
      <c r="A44" s="405" t="s">
        <v>611</v>
      </c>
      <c r="B44" s="429">
        <v>270</v>
      </c>
      <c r="C44" s="444">
        <f>+'hojas de costos 2'!Q591</f>
        <v>2.2096533989125513</v>
      </c>
      <c r="D44" s="429">
        <v>7.78</v>
      </c>
      <c r="E44" s="447">
        <f t="shared" si="3"/>
        <v>2100.6</v>
      </c>
      <c r="F44" s="447">
        <f t="shared" si="0"/>
        <v>596.60641770638881</v>
      </c>
      <c r="G44" s="447">
        <f t="shared" si="1"/>
        <v>1503.9935822936111</v>
      </c>
      <c r="H44" s="446">
        <f>+G44/$G$45</f>
        <v>2.103147979693314E-2</v>
      </c>
    </row>
    <row r="45" spans="1:8" ht="15.75" x14ac:dyDescent="0.25">
      <c r="A45" s="583" t="s">
        <v>703</v>
      </c>
      <c r="B45" s="583"/>
      <c r="C45" s="583"/>
      <c r="D45" s="583"/>
      <c r="E45" s="448">
        <f>SUM(E4:E44)</f>
        <v>103284.21000000002</v>
      </c>
      <c r="F45" s="448">
        <f>SUM(F4:F44)</f>
        <v>31772.666503525361</v>
      </c>
      <c r="G45" s="448">
        <f>SUM(G4:G44)</f>
        <v>71511.543496474609</v>
      </c>
      <c r="H45" s="449">
        <f>SUM(H4:H44)</f>
        <v>1.0000000000000002</v>
      </c>
    </row>
    <row r="46" spans="1:8" ht="15.75" x14ac:dyDescent="0.25">
      <c r="A46" s="443" t="s">
        <v>491</v>
      </c>
    </row>
    <row r="47" spans="1:8" x14ac:dyDescent="0.25">
      <c r="A47" s="29"/>
    </row>
    <row r="49" spans="1:1" x14ac:dyDescent="0.25">
      <c r="A49" s="29"/>
    </row>
  </sheetData>
  <mergeCells count="2">
    <mergeCell ref="A2:H2"/>
    <mergeCell ref="A45:D45"/>
  </mergeCells>
  <conditionalFormatting sqref="G1 G46:G1048576 G3:G44">
    <cfRule type="cellIs" dxfId="1" priority="2" operator="lessThan">
      <formula>0</formula>
    </cfRule>
  </conditionalFormatting>
  <conditionalFormatting sqref="H3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J38"/>
  <sheetViews>
    <sheetView workbookViewId="0">
      <selection activeCell="J9" sqref="J9"/>
    </sheetView>
  </sheetViews>
  <sheetFormatPr baseColWidth="10" defaultRowHeight="15" x14ac:dyDescent="0.25"/>
  <cols>
    <col min="3" max="3" width="30.5703125" customWidth="1"/>
    <col min="4" max="4" width="4" customWidth="1"/>
    <col min="5" max="5" width="20.28515625" customWidth="1"/>
    <col min="6" max="6" width="4.7109375" customWidth="1"/>
    <col min="7" max="7" width="15.5703125" customWidth="1"/>
    <col min="10" max="10" width="13.140625" bestFit="1" customWidth="1"/>
  </cols>
  <sheetData>
    <row r="4" spans="3:10" ht="15.75" thickBot="1" x14ac:dyDescent="0.3"/>
    <row r="5" spans="3:10" ht="15.75" x14ac:dyDescent="0.25">
      <c r="C5" s="589" t="s">
        <v>637</v>
      </c>
      <c r="D5" s="590"/>
      <c r="E5" s="402"/>
      <c r="F5" s="402"/>
      <c r="G5" s="402"/>
      <c r="H5" s="403"/>
    </row>
    <row r="6" spans="3:10" x14ac:dyDescent="0.25">
      <c r="C6" s="229"/>
      <c r="G6" s="379"/>
      <c r="H6" s="404"/>
    </row>
    <row r="7" spans="3:10" ht="15.75" x14ac:dyDescent="0.25">
      <c r="C7" s="588" t="s">
        <v>638</v>
      </c>
      <c r="D7" s="505"/>
      <c r="E7" s="505"/>
      <c r="F7" s="505"/>
      <c r="G7" s="505"/>
      <c r="H7" s="404"/>
    </row>
    <row r="8" spans="3:10" ht="15.75" x14ac:dyDescent="0.25">
      <c r="C8" s="401"/>
      <c r="G8" s="379"/>
      <c r="H8" s="404"/>
    </row>
    <row r="9" spans="3:10" ht="16.5" thickBot="1" x14ac:dyDescent="0.3">
      <c r="C9" s="381" t="s">
        <v>639</v>
      </c>
      <c r="D9" s="382" t="s">
        <v>485</v>
      </c>
      <c r="E9" s="383">
        <f>+'PRESUPUESTO cif '!E55</f>
        <v>35846.9588</v>
      </c>
      <c r="F9" s="234" t="s">
        <v>485</v>
      </c>
      <c r="G9" s="384">
        <f>+E9/E10</f>
        <v>0.76985269116945931</v>
      </c>
      <c r="H9" s="404"/>
      <c r="J9" s="454">
        <v>0.76985269116945898</v>
      </c>
    </row>
    <row r="10" spans="3:10" ht="15.75" x14ac:dyDescent="0.25">
      <c r="C10" s="385" t="s">
        <v>640</v>
      </c>
      <c r="E10" s="386">
        <v>46563.4</v>
      </c>
      <c r="G10" s="379"/>
      <c r="H10" s="404"/>
    </row>
    <row r="11" spans="3:10" ht="15.75" x14ac:dyDescent="0.25">
      <c r="C11" s="401"/>
      <c r="G11" s="379"/>
      <c r="H11" s="404"/>
    </row>
    <row r="12" spans="3:10" ht="15.75" x14ac:dyDescent="0.25">
      <c r="C12" s="401"/>
      <c r="G12" s="379"/>
      <c r="H12" s="404"/>
    </row>
    <row r="13" spans="3:10" ht="15.75" x14ac:dyDescent="0.25">
      <c r="C13" s="586" t="s">
        <v>641</v>
      </c>
      <c r="D13" s="494"/>
      <c r="E13" s="494"/>
      <c r="F13" s="494"/>
      <c r="G13" s="494"/>
      <c r="H13" s="587"/>
    </row>
    <row r="14" spans="3:10" x14ac:dyDescent="0.25">
      <c r="C14" s="229"/>
      <c r="D14" s="379"/>
      <c r="E14" s="379"/>
      <c r="F14" s="379"/>
      <c r="G14" s="379"/>
      <c r="H14" s="404"/>
    </row>
    <row r="15" spans="3:10" ht="15.75" x14ac:dyDescent="0.25">
      <c r="C15" s="586" t="s">
        <v>491</v>
      </c>
      <c r="D15" s="494"/>
      <c r="E15" s="494"/>
      <c r="F15" s="379"/>
      <c r="G15" s="379"/>
      <c r="H15" s="404"/>
    </row>
    <row r="16" spans="3:10" ht="15.75" thickBot="1" x14ac:dyDescent="0.3">
      <c r="C16" s="387"/>
      <c r="D16" s="388"/>
      <c r="E16" s="388"/>
      <c r="F16" s="388"/>
      <c r="G16" s="388"/>
      <c r="H16" s="389"/>
    </row>
    <row r="19" spans="3:8" ht="15.75" thickBot="1" x14ac:dyDescent="0.3"/>
    <row r="20" spans="3:8" x14ac:dyDescent="0.25">
      <c r="C20" s="589" t="s">
        <v>642</v>
      </c>
      <c r="D20" s="590"/>
      <c r="E20" s="591"/>
      <c r="F20" s="591"/>
      <c r="G20" s="591"/>
      <c r="H20" s="593"/>
    </row>
    <row r="21" spans="3:8" x14ac:dyDescent="0.25">
      <c r="C21" s="586"/>
      <c r="D21" s="494"/>
      <c r="E21" s="592"/>
      <c r="F21" s="592"/>
      <c r="G21" s="592"/>
      <c r="H21" s="594"/>
    </row>
    <row r="22" spans="3:8" x14ac:dyDescent="0.25">
      <c r="C22" s="229"/>
      <c r="D22" s="379"/>
      <c r="E22" s="379"/>
      <c r="F22" s="379"/>
      <c r="G22" s="379"/>
      <c r="H22" s="404"/>
    </row>
    <row r="23" spans="3:8" ht="15.75" x14ac:dyDescent="0.25">
      <c r="C23" s="584" t="s">
        <v>643</v>
      </c>
      <c r="D23" s="509"/>
      <c r="E23" s="509"/>
      <c r="F23" s="509"/>
      <c r="G23" s="509"/>
      <c r="H23" s="585"/>
    </row>
    <row r="24" spans="3:8" x14ac:dyDescent="0.25">
      <c r="C24" s="229"/>
      <c r="D24" s="379"/>
      <c r="E24" s="379"/>
      <c r="F24" s="379"/>
      <c r="G24" s="379"/>
      <c r="H24" s="404"/>
    </row>
    <row r="25" spans="3:8" ht="15.75" x14ac:dyDescent="0.25">
      <c r="C25" s="586" t="s">
        <v>644</v>
      </c>
      <c r="D25" s="494"/>
      <c r="E25" s="494"/>
      <c r="F25" s="494"/>
      <c r="G25" s="494"/>
      <c r="H25" s="587"/>
    </row>
    <row r="26" spans="3:8" x14ac:dyDescent="0.25">
      <c r="C26" s="229"/>
      <c r="H26" s="404"/>
    </row>
    <row r="27" spans="3:8" ht="16.5" thickBot="1" x14ac:dyDescent="0.3">
      <c r="C27" s="232" t="s">
        <v>645</v>
      </c>
      <c r="D27" s="234" t="s">
        <v>485</v>
      </c>
      <c r="E27" s="390">
        <f>+'PRESUPUESTO cif '!C55</f>
        <v>30531.41</v>
      </c>
      <c r="G27" s="384">
        <f>+E27/E28</f>
        <v>0.6556954603830476</v>
      </c>
      <c r="H27" s="404"/>
    </row>
    <row r="28" spans="3:8" ht="15.75" x14ac:dyDescent="0.25">
      <c r="C28" s="391" t="s">
        <v>640</v>
      </c>
      <c r="E28" s="392">
        <v>46563.4</v>
      </c>
      <c r="H28" s="404"/>
    </row>
    <row r="29" spans="3:8" x14ac:dyDescent="0.25">
      <c r="C29" s="229"/>
      <c r="H29" s="404"/>
    </row>
    <row r="30" spans="3:8" x14ac:dyDescent="0.25">
      <c r="C30" s="229"/>
      <c r="H30" s="404"/>
    </row>
    <row r="31" spans="3:8" ht="15.75" x14ac:dyDescent="0.25">
      <c r="C31" s="586" t="s">
        <v>646</v>
      </c>
      <c r="D31" s="494"/>
      <c r="E31" s="494"/>
      <c r="F31" s="494"/>
      <c r="G31" s="494"/>
      <c r="H31" s="404"/>
    </row>
    <row r="32" spans="3:8" x14ac:dyDescent="0.25">
      <c r="C32" s="229"/>
      <c r="H32" s="404"/>
    </row>
    <row r="33" spans="3:8" ht="16.5" thickBot="1" x14ac:dyDescent="0.3">
      <c r="C33" s="232" t="s">
        <v>647</v>
      </c>
      <c r="D33" s="382" t="s">
        <v>485</v>
      </c>
      <c r="E33" s="390">
        <f>+'PRESUPUESTO cif '!D55</f>
        <v>5315.5488000000005</v>
      </c>
      <c r="F33" s="234" t="s">
        <v>485</v>
      </c>
      <c r="G33" s="384">
        <f>+E33/E34</f>
        <v>0.11415723078641166</v>
      </c>
      <c r="H33" s="404"/>
    </row>
    <row r="34" spans="3:8" ht="15.75" x14ac:dyDescent="0.25">
      <c r="C34" s="391" t="s">
        <v>640</v>
      </c>
      <c r="E34" s="392">
        <v>46563.4</v>
      </c>
      <c r="H34" s="404"/>
    </row>
    <row r="35" spans="3:8" x14ac:dyDescent="0.25">
      <c r="C35" s="229"/>
      <c r="H35" s="404"/>
    </row>
    <row r="36" spans="3:8" x14ac:dyDescent="0.25">
      <c r="C36" s="229"/>
      <c r="H36" s="404"/>
    </row>
    <row r="37" spans="3:8" ht="15.75" x14ac:dyDescent="0.25">
      <c r="C37" s="588" t="s">
        <v>492</v>
      </c>
      <c r="D37" s="505"/>
      <c r="E37" s="505"/>
      <c r="H37" s="404"/>
    </row>
    <row r="38" spans="3:8" ht="15.75" thickBot="1" x14ac:dyDescent="0.3">
      <c r="C38" s="393"/>
      <c r="D38" s="388"/>
      <c r="E38" s="388"/>
      <c r="F38" s="388"/>
      <c r="G38" s="388"/>
      <c r="H38" s="389"/>
    </row>
  </sheetData>
  <mergeCells count="13">
    <mergeCell ref="C23:H23"/>
    <mergeCell ref="C25:H25"/>
    <mergeCell ref="C31:G31"/>
    <mergeCell ref="C37:E37"/>
    <mergeCell ref="C5:D5"/>
    <mergeCell ref="C7:G7"/>
    <mergeCell ref="C13:H13"/>
    <mergeCell ref="C15:E15"/>
    <mergeCell ref="C20:D21"/>
    <mergeCell ref="E20:E21"/>
    <mergeCell ref="F20:F21"/>
    <mergeCell ref="G20:G21"/>
    <mergeCell ref="H20:H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63"/>
  <sheetViews>
    <sheetView topLeftCell="B424" zoomScale="60" zoomScaleNormal="60" workbookViewId="0">
      <selection activeCell="C439" sqref="C439:K439"/>
    </sheetView>
  </sheetViews>
  <sheetFormatPr baseColWidth="10" defaultRowHeight="15" x14ac:dyDescent="0.25"/>
  <cols>
    <col min="1" max="1" width="15.140625" customWidth="1"/>
    <col min="2" max="2" width="46" customWidth="1"/>
    <col min="4" max="4" width="11.42578125" style="35"/>
    <col min="7" max="8" width="11.42578125" style="35"/>
    <col min="10" max="10" width="11.42578125" style="35"/>
  </cols>
  <sheetData>
    <row r="2" spans="1:11" ht="15.75" x14ac:dyDescent="0.25">
      <c r="A2" s="456" t="s">
        <v>10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</row>
    <row r="3" spans="1:11" ht="15.75" x14ac:dyDescent="0.25">
      <c r="A3" s="456" t="s">
        <v>11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</row>
    <row r="4" spans="1:11" x14ac:dyDescent="0.25">
      <c r="A4" s="2" t="s">
        <v>8</v>
      </c>
      <c r="B4" s="465" t="s">
        <v>65</v>
      </c>
      <c r="C4" s="466"/>
      <c r="D4" s="466"/>
      <c r="E4" s="467"/>
      <c r="F4" s="9" t="s">
        <v>48</v>
      </c>
      <c r="G4" s="468" t="s">
        <v>49</v>
      </c>
      <c r="H4" s="469"/>
      <c r="I4" s="469"/>
      <c r="J4" s="469"/>
      <c r="K4" s="470"/>
    </row>
    <row r="5" spans="1:11" x14ac:dyDescent="0.25">
      <c r="A5" s="4" t="s">
        <v>9</v>
      </c>
      <c r="B5" s="471" t="s">
        <v>66</v>
      </c>
      <c r="C5" s="471"/>
      <c r="D5" s="471"/>
      <c r="E5" s="471"/>
      <c r="F5" s="11" t="s">
        <v>50</v>
      </c>
      <c r="G5" s="471" t="s">
        <v>67</v>
      </c>
      <c r="H5" s="471"/>
      <c r="I5" s="471"/>
      <c r="J5" s="471"/>
      <c r="K5" s="471"/>
    </row>
    <row r="6" spans="1:11" x14ac:dyDescent="0.25">
      <c r="A6" s="464" t="s">
        <v>0</v>
      </c>
      <c r="B6" s="464" t="s">
        <v>1</v>
      </c>
      <c r="C6" s="464" t="s">
        <v>2</v>
      </c>
      <c r="D6" s="464"/>
      <c r="E6" s="464"/>
      <c r="F6" s="464" t="s">
        <v>3</v>
      </c>
      <c r="G6" s="464"/>
      <c r="H6" s="464"/>
      <c r="I6" s="464" t="s">
        <v>4</v>
      </c>
      <c r="J6" s="464"/>
      <c r="K6" s="464"/>
    </row>
    <row r="7" spans="1:11" x14ac:dyDescent="0.25">
      <c r="A7" s="464"/>
      <c r="B7" s="464"/>
      <c r="C7" s="2" t="s">
        <v>5</v>
      </c>
      <c r="D7" s="3" t="s">
        <v>6</v>
      </c>
      <c r="E7" s="2" t="s">
        <v>7</v>
      </c>
      <c r="F7" s="2" t="s">
        <v>5</v>
      </c>
      <c r="G7" s="3" t="s">
        <v>6</v>
      </c>
      <c r="H7" s="3" t="s">
        <v>7</v>
      </c>
      <c r="I7" s="2" t="s">
        <v>5</v>
      </c>
      <c r="J7" s="3" t="s">
        <v>6</v>
      </c>
      <c r="K7" s="2" t="s">
        <v>7</v>
      </c>
    </row>
    <row r="8" spans="1:11" x14ac:dyDescent="0.25">
      <c r="A8" s="1"/>
      <c r="B8" s="1" t="s">
        <v>42</v>
      </c>
      <c r="C8" s="1"/>
      <c r="D8" s="34"/>
      <c r="E8" s="1"/>
      <c r="F8" s="1"/>
      <c r="G8" s="34"/>
      <c r="H8" s="34"/>
      <c r="I8" s="1">
        <v>0</v>
      </c>
      <c r="J8" s="34">
        <v>0</v>
      </c>
      <c r="K8" s="1">
        <v>0</v>
      </c>
    </row>
    <row r="9" spans="1:11" ht="15.75" x14ac:dyDescent="0.25">
      <c r="A9" s="7">
        <v>42009</v>
      </c>
      <c r="B9" s="8" t="s">
        <v>43</v>
      </c>
      <c r="C9" s="6">
        <v>500</v>
      </c>
      <c r="D9" s="27">
        <f>+E9/C9</f>
        <v>5.8000000000000003E-2</v>
      </c>
      <c r="E9" s="8">
        <v>29</v>
      </c>
      <c r="F9" s="8"/>
      <c r="G9" s="27"/>
      <c r="H9" s="27"/>
      <c r="I9" s="6">
        <f>+I8+C9</f>
        <v>500</v>
      </c>
      <c r="J9" s="27">
        <f>+K9/I9</f>
        <v>5.8000000000000003E-2</v>
      </c>
      <c r="K9" s="8">
        <f>+K8+E9</f>
        <v>29</v>
      </c>
    </row>
    <row r="10" spans="1:11" ht="30" x14ac:dyDescent="0.25">
      <c r="A10" s="307"/>
      <c r="B10" s="309" t="s">
        <v>520</v>
      </c>
      <c r="C10" s="222"/>
      <c r="D10" s="223"/>
      <c r="E10" s="222"/>
      <c r="F10" s="222">
        <v>1</v>
      </c>
      <c r="G10" s="223">
        <f>+J9</f>
        <v>5.8000000000000003E-2</v>
      </c>
      <c r="H10" s="223">
        <f>+G10*F10</f>
        <v>5.8000000000000003E-2</v>
      </c>
      <c r="I10" s="222">
        <f>+I9-F10</f>
        <v>499</v>
      </c>
      <c r="J10" s="223">
        <f>+K10/I10</f>
        <v>5.8000000000000003E-2</v>
      </c>
      <c r="K10" s="223">
        <f>+K9-H10</f>
        <v>28.942</v>
      </c>
    </row>
    <row r="11" spans="1:11" x14ac:dyDescent="0.25">
      <c r="A11" s="5"/>
      <c r="B11" s="2"/>
      <c r="C11" s="2"/>
      <c r="D11" s="3"/>
      <c r="E11" s="2"/>
      <c r="F11" s="2"/>
      <c r="G11" s="3"/>
      <c r="H11" s="3"/>
      <c r="I11" s="2"/>
      <c r="J11" s="3"/>
      <c r="K11" s="3"/>
    </row>
    <row r="12" spans="1:11" x14ac:dyDescent="0.25">
      <c r="A12" s="5"/>
      <c r="B12" s="2"/>
      <c r="C12" s="2"/>
      <c r="D12" s="3"/>
      <c r="E12" s="2"/>
      <c r="F12" s="2"/>
      <c r="G12" s="3"/>
      <c r="H12" s="3"/>
      <c r="I12" s="2"/>
      <c r="J12" s="3"/>
      <c r="K12" s="3"/>
    </row>
    <row r="16" spans="1:11" ht="15.75" x14ac:dyDescent="0.25">
      <c r="A16" s="456" t="s">
        <v>10</v>
      </c>
      <c r="B16" s="456"/>
      <c r="C16" s="456"/>
      <c r="D16" s="456"/>
      <c r="E16" s="456"/>
      <c r="F16" s="456"/>
      <c r="G16" s="456"/>
      <c r="H16" s="456"/>
      <c r="I16" s="456"/>
      <c r="J16" s="456"/>
      <c r="K16" s="456"/>
    </row>
    <row r="17" spans="1:11" ht="15.75" x14ac:dyDescent="0.25">
      <c r="A17" s="456" t="s">
        <v>11</v>
      </c>
      <c r="B17" s="456"/>
      <c r="C17" s="456"/>
      <c r="D17" s="456"/>
      <c r="E17" s="456"/>
      <c r="F17" s="456"/>
      <c r="G17" s="456"/>
      <c r="H17" s="456"/>
      <c r="I17" s="456"/>
      <c r="J17" s="456"/>
      <c r="K17" s="456"/>
    </row>
    <row r="18" spans="1:11" x14ac:dyDescent="0.25">
      <c r="A18" s="2" t="s">
        <v>8</v>
      </c>
      <c r="B18" s="465" t="s">
        <v>68</v>
      </c>
      <c r="C18" s="466"/>
      <c r="D18" s="466"/>
      <c r="E18" s="467"/>
      <c r="F18" s="9" t="s">
        <v>48</v>
      </c>
      <c r="G18" s="468" t="s">
        <v>49</v>
      </c>
      <c r="H18" s="469"/>
      <c r="I18" s="469"/>
      <c r="J18" s="469"/>
      <c r="K18" s="470"/>
    </row>
    <row r="19" spans="1:11" x14ac:dyDescent="0.25">
      <c r="A19" s="4" t="s">
        <v>9</v>
      </c>
      <c r="B19" s="471" t="s">
        <v>66</v>
      </c>
      <c r="C19" s="471"/>
      <c r="D19" s="471"/>
      <c r="E19" s="471"/>
      <c r="F19" s="11" t="s">
        <v>50</v>
      </c>
      <c r="G19" s="471" t="s">
        <v>67</v>
      </c>
      <c r="H19" s="471"/>
      <c r="I19" s="471"/>
      <c r="J19" s="471"/>
      <c r="K19" s="471"/>
    </row>
    <row r="20" spans="1:11" x14ac:dyDescent="0.25">
      <c r="A20" s="464" t="s">
        <v>0</v>
      </c>
      <c r="B20" s="464" t="s">
        <v>1</v>
      </c>
      <c r="C20" s="464" t="s">
        <v>2</v>
      </c>
      <c r="D20" s="464"/>
      <c r="E20" s="464"/>
      <c r="F20" s="464" t="s">
        <v>3</v>
      </c>
      <c r="G20" s="464"/>
      <c r="H20" s="464"/>
      <c r="I20" s="464" t="s">
        <v>4</v>
      </c>
      <c r="J20" s="464"/>
      <c r="K20" s="464"/>
    </row>
    <row r="21" spans="1:11" x14ac:dyDescent="0.25">
      <c r="A21" s="464"/>
      <c r="B21" s="464"/>
      <c r="C21" s="2" t="s">
        <v>5</v>
      </c>
      <c r="D21" s="3" t="s">
        <v>6</v>
      </c>
      <c r="E21" s="2" t="s">
        <v>7</v>
      </c>
      <c r="F21" s="2" t="s">
        <v>5</v>
      </c>
      <c r="G21" s="3" t="s">
        <v>6</v>
      </c>
      <c r="H21" s="3" t="s">
        <v>7</v>
      </c>
      <c r="I21" s="2" t="s">
        <v>5</v>
      </c>
      <c r="J21" s="3" t="s">
        <v>6</v>
      </c>
      <c r="K21" s="2" t="s">
        <v>7</v>
      </c>
    </row>
    <row r="22" spans="1:11" x14ac:dyDescent="0.25">
      <c r="A22" s="1"/>
      <c r="B22" s="1" t="s">
        <v>42</v>
      </c>
      <c r="C22" s="1"/>
      <c r="D22" s="34"/>
      <c r="E22" s="1"/>
      <c r="F22" s="1"/>
      <c r="G22" s="34"/>
      <c r="H22" s="34"/>
      <c r="I22" s="1">
        <v>0</v>
      </c>
      <c r="J22" s="34">
        <v>0</v>
      </c>
      <c r="K22" s="1">
        <v>0</v>
      </c>
    </row>
    <row r="23" spans="1:11" ht="15.75" x14ac:dyDescent="0.25">
      <c r="A23" s="7">
        <v>42009</v>
      </c>
      <c r="B23" s="8" t="s">
        <v>43</v>
      </c>
      <c r="C23" s="6">
        <v>1000</v>
      </c>
      <c r="D23" s="27">
        <f>+E23/C23</f>
        <v>3.4000000000000002E-2</v>
      </c>
      <c r="E23" s="8">
        <v>34</v>
      </c>
      <c r="F23" s="8"/>
      <c r="G23" s="27"/>
      <c r="H23" s="27"/>
      <c r="I23" s="6">
        <f>+I22+C23</f>
        <v>1000</v>
      </c>
      <c r="J23" s="27">
        <f>+K23/I23</f>
        <v>3.4000000000000002E-2</v>
      </c>
      <c r="K23" s="8">
        <f>+K22+E23</f>
        <v>34</v>
      </c>
    </row>
    <row r="24" spans="1:11" ht="30" x14ac:dyDescent="0.25">
      <c r="A24" s="307"/>
      <c r="B24" s="309" t="s">
        <v>520</v>
      </c>
      <c r="C24" s="222"/>
      <c r="D24" s="223"/>
      <c r="E24" s="222"/>
      <c r="F24" s="222">
        <v>3</v>
      </c>
      <c r="G24" s="223">
        <f>+J23</f>
        <v>3.4000000000000002E-2</v>
      </c>
      <c r="H24" s="223">
        <f>+G24*F24</f>
        <v>0.10200000000000001</v>
      </c>
      <c r="I24" s="222">
        <f>+I23-F24</f>
        <v>997</v>
      </c>
      <c r="J24" s="223">
        <f>+K24/I24</f>
        <v>3.4000000000000002E-2</v>
      </c>
      <c r="K24" s="223">
        <f>+K23-H24</f>
        <v>33.898000000000003</v>
      </c>
    </row>
    <row r="25" spans="1:11" x14ac:dyDescent="0.25">
      <c r="A25" s="5"/>
      <c r="B25" s="2"/>
      <c r="C25" s="2"/>
      <c r="D25" s="3"/>
      <c r="E25" s="2"/>
      <c r="F25" s="2"/>
      <c r="G25" s="3"/>
      <c r="H25" s="3"/>
      <c r="I25" s="2"/>
      <c r="J25" s="3"/>
      <c r="K25" s="3"/>
    </row>
    <row r="26" spans="1:11" x14ac:dyDescent="0.25">
      <c r="A26" s="5"/>
      <c r="B26" s="2"/>
      <c r="C26" s="2"/>
      <c r="D26" s="3"/>
      <c r="E26" s="2"/>
      <c r="F26" s="2"/>
      <c r="G26" s="3"/>
      <c r="H26" s="3"/>
      <c r="I26" s="2"/>
      <c r="J26" s="3"/>
      <c r="K26" s="3"/>
    </row>
    <row r="30" spans="1:11" ht="15.75" x14ac:dyDescent="0.25">
      <c r="A30" s="456" t="s">
        <v>10</v>
      </c>
      <c r="B30" s="456"/>
      <c r="C30" s="456"/>
      <c r="D30" s="456"/>
      <c r="E30" s="456"/>
      <c r="F30" s="456"/>
      <c r="G30" s="456"/>
      <c r="H30" s="456"/>
      <c r="I30" s="456"/>
      <c r="J30" s="456"/>
      <c r="K30" s="456"/>
    </row>
    <row r="31" spans="1:11" ht="15.75" x14ac:dyDescent="0.25">
      <c r="A31" s="456" t="s">
        <v>11</v>
      </c>
      <c r="B31" s="456"/>
      <c r="C31" s="456"/>
      <c r="D31" s="456"/>
      <c r="E31" s="456"/>
      <c r="F31" s="456"/>
      <c r="G31" s="456"/>
      <c r="H31" s="456"/>
      <c r="I31" s="456"/>
      <c r="J31" s="456"/>
      <c r="K31" s="456"/>
    </row>
    <row r="32" spans="1:11" x14ac:dyDescent="0.25">
      <c r="A32" s="2" t="s">
        <v>8</v>
      </c>
      <c r="B32" s="465" t="s">
        <v>69</v>
      </c>
      <c r="C32" s="466"/>
      <c r="D32" s="466"/>
      <c r="E32" s="467"/>
      <c r="F32" s="9" t="s">
        <v>48</v>
      </c>
      <c r="G32" s="468" t="s">
        <v>49</v>
      </c>
      <c r="H32" s="469"/>
      <c r="I32" s="469"/>
      <c r="J32" s="469"/>
      <c r="K32" s="470"/>
    </row>
    <row r="33" spans="1:11" x14ac:dyDescent="0.25">
      <c r="A33" s="4" t="s">
        <v>9</v>
      </c>
      <c r="B33" s="471" t="s">
        <v>44</v>
      </c>
      <c r="C33" s="471"/>
      <c r="D33" s="471"/>
      <c r="E33" s="471"/>
      <c r="F33" s="11" t="s">
        <v>50</v>
      </c>
      <c r="G33" s="471" t="s">
        <v>70</v>
      </c>
      <c r="H33" s="471"/>
      <c r="I33" s="471"/>
      <c r="J33" s="471"/>
      <c r="K33" s="471"/>
    </row>
    <row r="34" spans="1:11" x14ac:dyDescent="0.25">
      <c r="A34" s="464" t="s">
        <v>0</v>
      </c>
      <c r="B34" s="464" t="s">
        <v>1</v>
      </c>
      <c r="C34" s="464" t="s">
        <v>2</v>
      </c>
      <c r="D34" s="464"/>
      <c r="E34" s="464"/>
      <c r="F34" s="464" t="s">
        <v>3</v>
      </c>
      <c r="G34" s="464"/>
      <c r="H34" s="464"/>
      <c r="I34" s="464" t="s">
        <v>4</v>
      </c>
      <c r="J34" s="464"/>
      <c r="K34" s="464"/>
    </row>
    <row r="35" spans="1:11" x14ac:dyDescent="0.25">
      <c r="A35" s="464"/>
      <c r="B35" s="464"/>
      <c r="C35" s="2" t="s">
        <v>5</v>
      </c>
      <c r="D35" s="3" t="s">
        <v>6</v>
      </c>
      <c r="E35" s="2" t="s">
        <v>7</v>
      </c>
      <c r="F35" s="2" t="s">
        <v>5</v>
      </c>
      <c r="G35" s="3" t="s">
        <v>6</v>
      </c>
      <c r="H35" s="3" t="s">
        <v>7</v>
      </c>
      <c r="I35" s="2" t="s">
        <v>5</v>
      </c>
      <c r="J35" s="3" t="s">
        <v>6</v>
      </c>
      <c r="K35" s="2" t="s">
        <v>7</v>
      </c>
    </row>
    <row r="36" spans="1:11" x14ac:dyDescent="0.25">
      <c r="A36" s="1"/>
      <c r="B36" s="1" t="s">
        <v>42</v>
      </c>
      <c r="C36" s="1"/>
      <c r="D36" s="34"/>
      <c r="E36" s="1"/>
      <c r="F36" s="1"/>
      <c r="G36" s="34"/>
      <c r="H36" s="34"/>
      <c r="I36" s="1">
        <v>0</v>
      </c>
      <c r="J36" s="34">
        <v>0</v>
      </c>
      <c r="K36" s="1">
        <v>0</v>
      </c>
    </row>
    <row r="37" spans="1:11" ht="15.75" x14ac:dyDescent="0.25">
      <c r="A37" s="7">
        <v>42009</v>
      </c>
      <c r="B37" s="8" t="s">
        <v>43</v>
      </c>
      <c r="C37" s="6">
        <v>250</v>
      </c>
      <c r="D37" s="27">
        <f>+E37/C37</f>
        <v>0.23799999999999999</v>
      </c>
      <c r="E37" s="8">
        <v>59.5</v>
      </c>
      <c r="F37" s="8"/>
      <c r="G37" s="27"/>
      <c r="H37" s="27"/>
      <c r="I37" s="6">
        <f>+I36+C37</f>
        <v>250</v>
      </c>
      <c r="J37" s="27">
        <f>+K37/I37</f>
        <v>0.23799999999999999</v>
      </c>
      <c r="K37" s="8">
        <f>+K36+E37</f>
        <v>59.5</v>
      </c>
    </row>
    <row r="38" spans="1:11" ht="30" x14ac:dyDescent="0.25">
      <c r="A38" s="307"/>
      <c r="B38" s="309" t="s">
        <v>520</v>
      </c>
      <c r="C38" s="222"/>
      <c r="D38" s="223"/>
      <c r="E38" s="222"/>
      <c r="F38" s="222">
        <v>1</v>
      </c>
      <c r="G38" s="223">
        <f>+J37</f>
        <v>0.23799999999999999</v>
      </c>
      <c r="H38" s="223">
        <f>+G38*F38</f>
        <v>0.23799999999999999</v>
      </c>
      <c r="I38" s="222">
        <f>+I37-F38</f>
        <v>249</v>
      </c>
      <c r="J38" s="223">
        <f>+K38/I38</f>
        <v>0.23799999999999999</v>
      </c>
      <c r="K38" s="223">
        <f>+K37-H38</f>
        <v>59.262</v>
      </c>
    </row>
    <row r="39" spans="1:11" x14ac:dyDescent="0.25">
      <c r="A39" s="5"/>
      <c r="B39" s="2"/>
      <c r="C39" s="2"/>
      <c r="D39" s="3"/>
      <c r="E39" s="2"/>
      <c r="F39" s="2"/>
      <c r="G39" s="3"/>
      <c r="H39" s="3"/>
      <c r="I39" s="2"/>
      <c r="J39" s="3"/>
      <c r="K39" s="3"/>
    </row>
    <row r="40" spans="1:11" x14ac:dyDescent="0.25">
      <c r="A40" s="5"/>
      <c r="B40" s="2"/>
      <c r="C40" s="2"/>
      <c r="D40" s="3"/>
      <c r="E40" s="2"/>
      <c r="F40" s="2"/>
      <c r="G40" s="3"/>
      <c r="H40" s="3"/>
      <c r="I40" s="2"/>
      <c r="J40" s="3"/>
      <c r="K40" s="3"/>
    </row>
    <row r="43" spans="1:11" ht="15.75" x14ac:dyDescent="0.25">
      <c r="A43" s="456" t="s">
        <v>10</v>
      </c>
      <c r="B43" s="456"/>
      <c r="C43" s="456"/>
      <c r="D43" s="456"/>
      <c r="E43" s="456"/>
      <c r="F43" s="456"/>
      <c r="G43" s="456"/>
      <c r="H43" s="456"/>
      <c r="I43" s="456"/>
      <c r="J43" s="456"/>
      <c r="K43" s="456"/>
    </row>
    <row r="44" spans="1:11" ht="15.75" x14ac:dyDescent="0.25">
      <c r="A44" s="456" t="s">
        <v>11</v>
      </c>
      <c r="B44" s="456"/>
      <c r="C44" s="456"/>
      <c r="D44" s="456"/>
      <c r="E44" s="456"/>
      <c r="F44" s="456"/>
      <c r="G44" s="456"/>
      <c r="H44" s="456"/>
      <c r="I44" s="456"/>
      <c r="J44" s="456"/>
      <c r="K44" s="456"/>
    </row>
    <row r="45" spans="1:11" x14ac:dyDescent="0.25">
      <c r="A45" s="2" t="s">
        <v>8</v>
      </c>
      <c r="B45" s="465" t="s">
        <v>71</v>
      </c>
      <c r="C45" s="466"/>
      <c r="D45" s="466"/>
      <c r="E45" s="467"/>
      <c r="F45" s="9" t="s">
        <v>48</v>
      </c>
      <c r="G45" s="468" t="s">
        <v>49</v>
      </c>
      <c r="H45" s="469"/>
      <c r="I45" s="469"/>
      <c r="J45" s="469"/>
      <c r="K45" s="470"/>
    </row>
    <row r="46" spans="1:11" x14ac:dyDescent="0.25">
      <c r="A46" s="4" t="s">
        <v>9</v>
      </c>
      <c r="B46" s="471" t="s">
        <v>72</v>
      </c>
      <c r="C46" s="471"/>
      <c r="D46" s="471"/>
      <c r="E46" s="471"/>
      <c r="F46" s="11" t="s">
        <v>50</v>
      </c>
      <c r="G46" s="471" t="s">
        <v>67</v>
      </c>
      <c r="H46" s="471"/>
      <c r="I46" s="471"/>
      <c r="J46" s="471"/>
      <c r="K46" s="471"/>
    </row>
    <row r="47" spans="1:11" x14ac:dyDescent="0.25">
      <c r="A47" s="464" t="s">
        <v>0</v>
      </c>
      <c r="B47" s="464" t="s">
        <v>1</v>
      </c>
      <c r="C47" s="464" t="s">
        <v>2</v>
      </c>
      <c r="D47" s="464"/>
      <c r="E47" s="464"/>
      <c r="F47" s="464" t="s">
        <v>3</v>
      </c>
      <c r="G47" s="464"/>
      <c r="H47" s="464"/>
      <c r="I47" s="464" t="s">
        <v>4</v>
      </c>
      <c r="J47" s="464"/>
      <c r="K47" s="464"/>
    </row>
    <row r="48" spans="1:11" x14ac:dyDescent="0.25">
      <c r="A48" s="464"/>
      <c r="B48" s="464"/>
      <c r="C48" s="2" t="s">
        <v>5</v>
      </c>
      <c r="D48" s="3" t="s">
        <v>6</v>
      </c>
      <c r="E48" s="2" t="s">
        <v>7</v>
      </c>
      <c r="F48" s="2" t="s">
        <v>5</v>
      </c>
      <c r="G48" s="3" t="s">
        <v>6</v>
      </c>
      <c r="H48" s="3" t="s">
        <v>7</v>
      </c>
      <c r="I48" s="2" t="s">
        <v>5</v>
      </c>
      <c r="J48" s="3" t="s">
        <v>6</v>
      </c>
      <c r="K48" s="2" t="s">
        <v>7</v>
      </c>
    </row>
    <row r="49" spans="1:11" x14ac:dyDescent="0.25">
      <c r="A49" s="1"/>
      <c r="B49" s="1" t="s">
        <v>42</v>
      </c>
      <c r="C49" s="1"/>
      <c r="D49" s="34"/>
      <c r="E49" s="1"/>
      <c r="F49" s="1"/>
      <c r="G49" s="34"/>
      <c r="H49" s="34"/>
      <c r="I49" s="1">
        <v>0</v>
      </c>
      <c r="J49" s="34">
        <v>0</v>
      </c>
      <c r="K49" s="1">
        <v>0</v>
      </c>
    </row>
    <row r="50" spans="1:11" ht="15.75" x14ac:dyDescent="0.25">
      <c r="A50" s="7">
        <v>42009</v>
      </c>
      <c r="B50" s="8" t="s">
        <v>43</v>
      </c>
      <c r="C50" s="6">
        <v>500</v>
      </c>
      <c r="D50" s="27">
        <f>+E50/C50</f>
        <v>0.03</v>
      </c>
      <c r="E50" s="8">
        <v>15</v>
      </c>
      <c r="F50" s="8"/>
      <c r="G50" s="27"/>
      <c r="H50" s="27"/>
      <c r="I50" s="6">
        <f>+I49+C50</f>
        <v>500</v>
      </c>
      <c r="J50" s="27">
        <f>+K50/I50</f>
        <v>0.03</v>
      </c>
      <c r="K50" s="8">
        <f>+K49+E50</f>
        <v>15</v>
      </c>
    </row>
    <row r="51" spans="1:11" ht="30" x14ac:dyDescent="0.25">
      <c r="A51" s="307"/>
      <c r="B51" s="309" t="s">
        <v>520</v>
      </c>
      <c r="C51" s="222"/>
      <c r="D51" s="223"/>
      <c r="E51" s="222"/>
      <c r="F51" s="222">
        <v>2</v>
      </c>
      <c r="G51" s="223">
        <f>+J50</f>
        <v>0.03</v>
      </c>
      <c r="H51" s="223">
        <f>+G51*F51</f>
        <v>0.06</v>
      </c>
      <c r="I51" s="222">
        <f>+I50-F51</f>
        <v>498</v>
      </c>
      <c r="J51" s="223">
        <f>+K51/I51</f>
        <v>0.03</v>
      </c>
      <c r="K51" s="223">
        <f>+K50-H51</f>
        <v>14.94</v>
      </c>
    </row>
    <row r="52" spans="1:11" x14ac:dyDescent="0.25">
      <c r="A52" s="5"/>
      <c r="B52" s="2"/>
      <c r="C52" s="2"/>
      <c r="D52" s="3"/>
      <c r="E52" s="2"/>
      <c r="F52" s="2"/>
      <c r="G52" s="3"/>
      <c r="H52" s="3"/>
      <c r="I52" s="2"/>
      <c r="J52" s="3"/>
      <c r="K52" s="3"/>
    </row>
    <row r="53" spans="1:11" x14ac:dyDescent="0.25">
      <c r="A53" s="5"/>
      <c r="B53" s="2"/>
      <c r="C53" s="2"/>
      <c r="D53" s="3"/>
      <c r="E53" s="2"/>
      <c r="F53" s="2"/>
      <c r="G53" s="3"/>
      <c r="H53" s="3"/>
      <c r="I53" s="2"/>
      <c r="J53" s="3"/>
      <c r="K53" s="3"/>
    </row>
    <row r="56" spans="1:11" ht="15.75" x14ac:dyDescent="0.25">
      <c r="A56" s="456" t="s">
        <v>10</v>
      </c>
      <c r="B56" s="456"/>
      <c r="C56" s="456"/>
      <c r="D56" s="456"/>
      <c r="E56" s="456"/>
      <c r="F56" s="456"/>
      <c r="G56" s="456"/>
      <c r="H56" s="456"/>
      <c r="I56" s="456"/>
      <c r="J56" s="456"/>
      <c r="K56" s="456"/>
    </row>
    <row r="57" spans="1:11" ht="15.75" x14ac:dyDescent="0.25">
      <c r="A57" s="456" t="s">
        <v>11</v>
      </c>
      <c r="B57" s="456"/>
      <c r="C57" s="456"/>
      <c r="D57" s="456"/>
      <c r="E57" s="456"/>
      <c r="F57" s="456"/>
      <c r="G57" s="456"/>
      <c r="H57" s="456"/>
      <c r="I57" s="456"/>
      <c r="J57" s="456"/>
      <c r="K57" s="456"/>
    </row>
    <row r="58" spans="1:11" x14ac:dyDescent="0.25">
      <c r="A58" s="2" t="s">
        <v>8</v>
      </c>
      <c r="B58" s="465" t="s">
        <v>74</v>
      </c>
      <c r="C58" s="466"/>
      <c r="D58" s="466"/>
      <c r="E58" s="467"/>
      <c r="F58" s="9" t="s">
        <v>48</v>
      </c>
      <c r="G58" s="468" t="s">
        <v>49</v>
      </c>
      <c r="H58" s="469"/>
      <c r="I58" s="469"/>
      <c r="J58" s="469"/>
      <c r="K58" s="470"/>
    </row>
    <row r="59" spans="1:11" x14ac:dyDescent="0.25">
      <c r="A59" s="4" t="s">
        <v>9</v>
      </c>
      <c r="B59" s="471" t="s">
        <v>72</v>
      </c>
      <c r="C59" s="471"/>
      <c r="D59" s="471"/>
      <c r="E59" s="471"/>
      <c r="F59" s="11" t="s">
        <v>50</v>
      </c>
      <c r="G59" s="471" t="s">
        <v>67</v>
      </c>
      <c r="H59" s="471"/>
      <c r="I59" s="471"/>
      <c r="J59" s="471"/>
      <c r="K59" s="471"/>
    </row>
    <row r="60" spans="1:11" x14ac:dyDescent="0.25">
      <c r="A60" s="464" t="s">
        <v>0</v>
      </c>
      <c r="B60" s="464" t="s">
        <v>1</v>
      </c>
      <c r="C60" s="464" t="s">
        <v>2</v>
      </c>
      <c r="D60" s="464"/>
      <c r="E60" s="464"/>
      <c r="F60" s="464" t="s">
        <v>3</v>
      </c>
      <c r="G60" s="464"/>
      <c r="H60" s="464"/>
      <c r="I60" s="464" t="s">
        <v>4</v>
      </c>
      <c r="J60" s="464"/>
      <c r="K60" s="464"/>
    </row>
    <row r="61" spans="1:11" x14ac:dyDescent="0.25">
      <c r="A61" s="464"/>
      <c r="B61" s="464"/>
      <c r="C61" s="2" t="s">
        <v>5</v>
      </c>
      <c r="D61" s="3" t="s">
        <v>6</v>
      </c>
      <c r="E61" s="2" t="s">
        <v>7</v>
      </c>
      <c r="F61" s="2" t="s">
        <v>5</v>
      </c>
      <c r="G61" s="3" t="s">
        <v>6</v>
      </c>
      <c r="H61" s="3" t="s">
        <v>7</v>
      </c>
      <c r="I61" s="2" t="s">
        <v>5</v>
      </c>
      <c r="J61" s="3" t="s">
        <v>6</v>
      </c>
      <c r="K61" s="2" t="s">
        <v>7</v>
      </c>
    </row>
    <row r="62" spans="1:11" x14ac:dyDescent="0.25">
      <c r="A62" s="1"/>
      <c r="B62" s="1" t="s">
        <v>42</v>
      </c>
      <c r="C62" s="1"/>
      <c r="D62" s="34"/>
      <c r="E62" s="1"/>
      <c r="F62" s="1"/>
      <c r="G62" s="34"/>
      <c r="H62" s="34"/>
      <c r="I62" s="1">
        <v>0</v>
      </c>
      <c r="J62" s="34">
        <v>0</v>
      </c>
      <c r="K62" s="1">
        <v>0</v>
      </c>
    </row>
    <row r="63" spans="1:11" ht="15.75" x14ac:dyDescent="0.25">
      <c r="A63" s="7">
        <v>42009</v>
      </c>
      <c r="B63" s="8" t="s">
        <v>43</v>
      </c>
      <c r="C63" s="6">
        <v>500</v>
      </c>
      <c r="D63" s="27">
        <f>+E63/C63</f>
        <v>2.682E-2</v>
      </c>
      <c r="E63" s="8">
        <v>13.41</v>
      </c>
      <c r="F63" s="8"/>
      <c r="G63" s="27"/>
      <c r="H63" s="27"/>
      <c r="I63" s="6">
        <f>+I62+C63</f>
        <v>500</v>
      </c>
      <c r="J63" s="27">
        <f>+K63/I63</f>
        <v>2.682E-2</v>
      </c>
      <c r="K63" s="8">
        <f>+K62+E63</f>
        <v>13.41</v>
      </c>
    </row>
    <row r="64" spans="1:11" ht="30" x14ac:dyDescent="0.25">
      <c r="A64" s="307"/>
      <c r="B64" s="309" t="s">
        <v>520</v>
      </c>
      <c r="C64" s="222"/>
      <c r="D64" s="223"/>
      <c r="E64" s="222"/>
      <c r="F64" s="222">
        <v>1.5</v>
      </c>
      <c r="G64" s="223">
        <f>+J63</f>
        <v>2.682E-2</v>
      </c>
      <c r="H64" s="223">
        <f>+G64*F64</f>
        <v>4.0230000000000002E-2</v>
      </c>
      <c r="I64" s="222">
        <f>+I63-F64</f>
        <v>498.5</v>
      </c>
      <c r="J64" s="223">
        <f>+K64/I64</f>
        <v>2.682E-2</v>
      </c>
      <c r="K64" s="223">
        <f>+K63-H64</f>
        <v>13.369770000000001</v>
      </c>
    </row>
    <row r="65" spans="1:11" x14ac:dyDescent="0.25">
      <c r="A65" s="5"/>
      <c r="B65" s="2"/>
      <c r="C65" s="2"/>
      <c r="D65" s="3"/>
      <c r="E65" s="2"/>
      <c r="F65" s="2"/>
      <c r="G65" s="3"/>
      <c r="H65" s="3"/>
      <c r="I65" s="2"/>
      <c r="J65" s="3"/>
      <c r="K65" s="3"/>
    </row>
    <row r="66" spans="1:11" x14ac:dyDescent="0.25">
      <c r="A66" s="5"/>
      <c r="B66" s="2"/>
      <c r="C66" s="2"/>
      <c r="D66" s="3"/>
      <c r="E66" s="2"/>
      <c r="F66" s="2"/>
      <c r="G66" s="3"/>
      <c r="H66" s="3"/>
      <c r="I66" s="2"/>
      <c r="J66" s="3"/>
      <c r="K66" s="3"/>
    </row>
    <row r="70" spans="1:11" ht="15.75" x14ac:dyDescent="0.25">
      <c r="A70" s="456" t="s">
        <v>10</v>
      </c>
      <c r="B70" s="456"/>
      <c r="C70" s="456"/>
      <c r="D70" s="456"/>
      <c r="E70" s="456"/>
      <c r="F70" s="456"/>
      <c r="G70" s="456"/>
      <c r="H70" s="456"/>
      <c r="I70" s="456"/>
      <c r="J70" s="456"/>
      <c r="K70" s="456"/>
    </row>
    <row r="71" spans="1:11" ht="15.75" x14ac:dyDescent="0.25">
      <c r="A71" s="456" t="s">
        <v>11</v>
      </c>
      <c r="B71" s="456"/>
      <c r="C71" s="456"/>
      <c r="D71" s="456"/>
      <c r="E71" s="456"/>
      <c r="F71" s="456"/>
      <c r="G71" s="456"/>
      <c r="H71" s="456"/>
      <c r="I71" s="456"/>
      <c r="J71" s="456"/>
      <c r="K71" s="456"/>
    </row>
    <row r="72" spans="1:11" x14ac:dyDescent="0.25">
      <c r="A72" s="2" t="s">
        <v>8</v>
      </c>
      <c r="B72" s="465" t="s">
        <v>75</v>
      </c>
      <c r="C72" s="466"/>
      <c r="D72" s="466"/>
      <c r="E72" s="467"/>
      <c r="F72" s="9" t="s">
        <v>48</v>
      </c>
      <c r="G72" s="468" t="s">
        <v>49</v>
      </c>
      <c r="H72" s="469"/>
      <c r="I72" s="469"/>
      <c r="J72" s="469"/>
      <c r="K72" s="470"/>
    </row>
    <row r="73" spans="1:11" x14ac:dyDescent="0.25">
      <c r="A73" s="4" t="s">
        <v>9</v>
      </c>
      <c r="B73" s="471" t="s">
        <v>72</v>
      </c>
      <c r="C73" s="471"/>
      <c r="D73" s="471"/>
      <c r="E73" s="471"/>
      <c r="F73" s="11" t="s">
        <v>50</v>
      </c>
      <c r="G73" s="471" t="s">
        <v>67</v>
      </c>
      <c r="H73" s="471"/>
      <c r="I73" s="471"/>
      <c r="J73" s="471"/>
      <c r="K73" s="471"/>
    </row>
    <row r="74" spans="1:11" x14ac:dyDescent="0.25">
      <c r="A74" s="464" t="s">
        <v>0</v>
      </c>
      <c r="B74" s="464" t="s">
        <v>1</v>
      </c>
      <c r="C74" s="464" t="s">
        <v>2</v>
      </c>
      <c r="D74" s="464"/>
      <c r="E74" s="464"/>
      <c r="F74" s="464" t="s">
        <v>3</v>
      </c>
      <c r="G74" s="464"/>
      <c r="H74" s="464"/>
      <c r="I74" s="464" t="s">
        <v>4</v>
      </c>
      <c r="J74" s="464"/>
      <c r="K74" s="464"/>
    </row>
    <row r="75" spans="1:11" x14ac:dyDescent="0.25">
      <c r="A75" s="464"/>
      <c r="B75" s="464"/>
      <c r="C75" s="2" t="s">
        <v>5</v>
      </c>
      <c r="D75" s="3" t="s">
        <v>6</v>
      </c>
      <c r="E75" s="2" t="s">
        <v>7</v>
      </c>
      <c r="F75" s="2" t="s">
        <v>5</v>
      </c>
      <c r="G75" s="3" t="s">
        <v>6</v>
      </c>
      <c r="H75" s="3" t="s">
        <v>7</v>
      </c>
      <c r="I75" s="2" t="s">
        <v>5</v>
      </c>
      <c r="J75" s="3" t="s">
        <v>6</v>
      </c>
      <c r="K75" s="2" t="s">
        <v>7</v>
      </c>
    </row>
    <row r="76" spans="1:11" x14ac:dyDescent="0.25">
      <c r="A76" s="1"/>
      <c r="B76" s="1" t="s">
        <v>42</v>
      </c>
      <c r="C76" s="1"/>
      <c r="D76" s="34"/>
      <c r="E76" s="1"/>
      <c r="F76" s="1"/>
      <c r="G76" s="34"/>
      <c r="H76" s="34"/>
      <c r="I76" s="1">
        <v>0</v>
      </c>
      <c r="J76" s="34">
        <v>0</v>
      </c>
      <c r="K76" s="1">
        <v>0</v>
      </c>
    </row>
    <row r="77" spans="1:11" ht="15.75" x14ac:dyDescent="0.25">
      <c r="A77" s="7">
        <v>42009</v>
      </c>
      <c r="B77" s="8" t="s">
        <v>43</v>
      </c>
      <c r="C77" s="6">
        <v>1000</v>
      </c>
      <c r="D77" s="27">
        <f>+E77/C77</f>
        <v>5.126E-2</v>
      </c>
      <c r="E77" s="8">
        <v>51.26</v>
      </c>
      <c r="F77" s="8"/>
      <c r="G77" s="27"/>
      <c r="H77" s="27"/>
      <c r="I77" s="6">
        <f>+I76+C77</f>
        <v>1000</v>
      </c>
      <c r="J77" s="27">
        <f>+K77/I77</f>
        <v>5.126E-2</v>
      </c>
      <c r="K77" s="8">
        <f>+K76+E77</f>
        <v>51.26</v>
      </c>
    </row>
    <row r="78" spans="1:11" ht="30" x14ac:dyDescent="0.25">
      <c r="A78" s="307"/>
      <c r="B78" s="309" t="s">
        <v>520</v>
      </c>
      <c r="C78" s="222"/>
      <c r="D78" s="223"/>
      <c r="E78" s="222"/>
      <c r="F78" s="222">
        <v>2.5</v>
      </c>
      <c r="G78" s="223">
        <f>+J77</f>
        <v>5.126E-2</v>
      </c>
      <c r="H78" s="223">
        <f>+G78*F78</f>
        <v>0.12814999999999999</v>
      </c>
      <c r="I78" s="222">
        <f>+I77-F78</f>
        <v>997.5</v>
      </c>
      <c r="J78" s="223">
        <f>+K78/I78</f>
        <v>5.1337082706766915E-2</v>
      </c>
      <c r="K78" s="223">
        <f>+K77-G78</f>
        <v>51.208739999999999</v>
      </c>
    </row>
    <row r="79" spans="1:11" ht="30" x14ac:dyDescent="0.25">
      <c r="A79" s="307"/>
      <c r="B79" s="309" t="s">
        <v>535</v>
      </c>
      <c r="C79" s="222"/>
      <c r="D79" s="223"/>
      <c r="E79" s="222"/>
      <c r="F79" s="222">
        <v>2.5</v>
      </c>
      <c r="G79" s="223">
        <f>+J78</f>
        <v>5.1337082706766915E-2</v>
      </c>
      <c r="H79" s="223">
        <f>+G79*F79</f>
        <v>0.12834270676691728</v>
      </c>
      <c r="I79" s="222">
        <f>+I78-F79</f>
        <v>995</v>
      </c>
      <c r="J79" s="223">
        <f>+K79/I79</f>
        <v>5.1337082706766915E-2</v>
      </c>
      <c r="K79" s="223">
        <f>+K78-H79</f>
        <v>51.080397293233084</v>
      </c>
    </row>
    <row r="80" spans="1:11" x14ac:dyDescent="0.25">
      <c r="A80" s="5"/>
      <c r="B80" s="2"/>
      <c r="C80" s="2"/>
      <c r="D80" s="3"/>
      <c r="E80" s="2"/>
      <c r="F80" s="2"/>
      <c r="G80" s="3"/>
      <c r="H80" s="3"/>
      <c r="I80" s="2"/>
      <c r="J80" s="3"/>
      <c r="K80" s="3"/>
    </row>
    <row r="83" spans="1:11" ht="15.75" x14ac:dyDescent="0.25">
      <c r="A83" s="456" t="s">
        <v>10</v>
      </c>
      <c r="B83" s="456"/>
      <c r="C83" s="456"/>
      <c r="D83" s="456"/>
      <c r="E83" s="456"/>
      <c r="F83" s="456"/>
      <c r="G83" s="456"/>
      <c r="H83" s="456"/>
      <c r="I83" s="456"/>
      <c r="J83" s="456"/>
      <c r="K83" s="456"/>
    </row>
    <row r="84" spans="1:11" ht="15.75" x14ac:dyDescent="0.25">
      <c r="A84" s="456" t="s">
        <v>11</v>
      </c>
      <c r="B84" s="456"/>
      <c r="C84" s="456"/>
      <c r="D84" s="456"/>
      <c r="E84" s="456"/>
      <c r="F84" s="456"/>
      <c r="G84" s="456"/>
      <c r="H84" s="456"/>
      <c r="I84" s="456"/>
      <c r="J84" s="456"/>
      <c r="K84" s="456"/>
    </row>
    <row r="85" spans="1:11" x14ac:dyDescent="0.25">
      <c r="A85" s="2" t="s">
        <v>8</v>
      </c>
      <c r="B85" s="465" t="s">
        <v>76</v>
      </c>
      <c r="C85" s="466"/>
      <c r="D85" s="466"/>
      <c r="E85" s="467"/>
      <c r="F85" s="9" t="s">
        <v>48</v>
      </c>
      <c r="G85" s="468" t="s">
        <v>49</v>
      </c>
      <c r="H85" s="469"/>
      <c r="I85" s="469"/>
      <c r="J85" s="469"/>
      <c r="K85" s="470"/>
    </row>
    <row r="86" spans="1:11" x14ac:dyDescent="0.25">
      <c r="A86" s="4" t="s">
        <v>9</v>
      </c>
      <c r="B86" s="471" t="s">
        <v>77</v>
      </c>
      <c r="C86" s="471"/>
      <c r="D86" s="471"/>
      <c r="E86" s="471"/>
      <c r="F86" s="11" t="s">
        <v>50</v>
      </c>
      <c r="G86" s="471" t="s">
        <v>78</v>
      </c>
      <c r="H86" s="471"/>
      <c r="I86" s="471"/>
      <c r="J86" s="471"/>
      <c r="K86" s="471"/>
    </row>
    <row r="87" spans="1:11" x14ac:dyDescent="0.25">
      <c r="A87" s="464" t="s">
        <v>0</v>
      </c>
      <c r="B87" s="464" t="s">
        <v>1</v>
      </c>
      <c r="C87" s="464" t="s">
        <v>2</v>
      </c>
      <c r="D87" s="464"/>
      <c r="E87" s="464"/>
      <c r="F87" s="464" t="s">
        <v>3</v>
      </c>
      <c r="G87" s="464"/>
      <c r="H87" s="464"/>
      <c r="I87" s="464" t="s">
        <v>4</v>
      </c>
      <c r="J87" s="464"/>
      <c r="K87" s="464"/>
    </row>
    <row r="88" spans="1:11" x14ac:dyDescent="0.25">
      <c r="A88" s="464"/>
      <c r="B88" s="464"/>
      <c r="C88" s="2" t="s">
        <v>5</v>
      </c>
      <c r="D88" s="3" t="s">
        <v>6</v>
      </c>
      <c r="E88" s="2" t="s">
        <v>7</v>
      </c>
      <c r="F88" s="2" t="s">
        <v>5</v>
      </c>
      <c r="G88" s="3" t="s">
        <v>6</v>
      </c>
      <c r="H88" s="3" t="s">
        <v>7</v>
      </c>
      <c r="I88" s="2" t="s">
        <v>5</v>
      </c>
      <c r="J88" s="3" t="s">
        <v>6</v>
      </c>
      <c r="K88" s="2" t="s">
        <v>7</v>
      </c>
    </row>
    <row r="89" spans="1:11" x14ac:dyDescent="0.25">
      <c r="A89" s="1"/>
      <c r="B89" s="1" t="s">
        <v>42</v>
      </c>
      <c r="C89" s="1"/>
      <c r="D89" s="34"/>
      <c r="E89" s="1"/>
      <c r="F89" s="1"/>
      <c r="G89" s="34"/>
      <c r="H89" s="34"/>
      <c r="I89" s="1">
        <v>0</v>
      </c>
      <c r="J89" s="34">
        <v>0</v>
      </c>
      <c r="K89" s="1">
        <v>0</v>
      </c>
    </row>
    <row r="90" spans="1:11" ht="15.75" x14ac:dyDescent="0.25">
      <c r="A90" s="7">
        <v>42009</v>
      </c>
      <c r="B90" s="8" t="s">
        <v>43</v>
      </c>
      <c r="C90" s="6">
        <v>50</v>
      </c>
      <c r="D90" s="27">
        <f>+E90/C90</f>
        <v>0.53400000000000003</v>
      </c>
      <c r="E90" s="8">
        <v>26.7</v>
      </c>
      <c r="F90" s="8"/>
      <c r="G90" s="27"/>
      <c r="H90" s="27"/>
      <c r="I90" s="6">
        <f>+I89+C90</f>
        <v>50</v>
      </c>
      <c r="J90" s="27">
        <f>+K90/I90</f>
        <v>0.53400000000000003</v>
      </c>
      <c r="K90" s="8">
        <f>+K89+E90</f>
        <v>26.7</v>
      </c>
    </row>
    <row r="91" spans="1:11" ht="30" x14ac:dyDescent="0.25">
      <c r="A91" s="307"/>
      <c r="B91" s="309" t="s">
        <v>588</v>
      </c>
      <c r="C91" s="222"/>
      <c r="D91" s="223"/>
      <c r="E91" s="222"/>
      <c r="F91" s="222">
        <v>1</v>
      </c>
      <c r="G91" s="223">
        <f>+J90</f>
        <v>0.53400000000000003</v>
      </c>
      <c r="H91" s="223">
        <f>+G91*F91</f>
        <v>0.53400000000000003</v>
      </c>
      <c r="I91" s="222">
        <f>+I90-F91</f>
        <v>49</v>
      </c>
      <c r="J91" s="342">
        <f>+K91/I91</f>
        <v>0.53400000000000003</v>
      </c>
      <c r="K91" s="223">
        <f>+K90-H91</f>
        <v>26.166</v>
      </c>
    </row>
    <row r="92" spans="1:11" x14ac:dyDescent="0.25">
      <c r="A92" s="5"/>
      <c r="B92" s="2"/>
      <c r="C92" s="2"/>
      <c r="D92" s="3"/>
      <c r="E92" s="2"/>
      <c r="F92" s="2"/>
      <c r="G92" s="3"/>
      <c r="H92" s="3"/>
      <c r="I92" s="2"/>
      <c r="J92" s="3"/>
      <c r="K92" s="3"/>
    </row>
    <row r="93" spans="1:11" x14ac:dyDescent="0.25">
      <c r="A93" s="5"/>
      <c r="B93" s="2"/>
      <c r="C93" s="2"/>
      <c r="D93" s="3"/>
      <c r="E93" s="2"/>
      <c r="F93" s="2"/>
      <c r="G93" s="3"/>
      <c r="H93" s="3"/>
      <c r="I93" s="2"/>
      <c r="J93" s="3"/>
      <c r="K93" s="3"/>
    </row>
    <row r="95" spans="1:11" ht="15.75" x14ac:dyDescent="0.25">
      <c r="A95" s="456" t="s">
        <v>10</v>
      </c>
      <c r="B95" s="456"/>
      <c r="C95" s="456"/>
      <c r="D95" s="456"/>
      <c r="E95" s="456"/>
      <c r="F95" s="456"/>
      <c r="G95" s="456"/>
      <c r="H95" s="456"/>
      <c r="I95" s="456"/>
      <c r="J95" s="456"/>
      <c r="K95" s="456"/>
    </row>
    <row r="96" spans="1:11" ht="15.75" x14ac:dyDescent="0.25">
      <c r="A96" s="456" t="s">
        <v>11</v>
      </c>
      <c r="B96" s="456"/>
      <c r="C96" s="456"/>
      <c r="D96" s="456"/>
      <c r="E96" s="456"/>
      <c r="F96" s="456"/>
      <c r="G96" s="456"/>
      <c r="H96" s="456"/>
      <c r="I96" s="456"/>
      <c r="J96" s="456"/>
      <c r="K96" s="456"/>
    </row>
    <row r="97" spans="1:11" x14ac:dyDescent="0.25">
      <c r="A97" s="2" t="s">
        <v>8</v>
      </c>
      <c r="B97" s="465" t="s">
        <v>79</v>
      </c>
      <c r="C97" s="466"/>
      <c r="D97" s="466"/>
      <c r="E97" s="467"/>
      <c r="F97" s="9" t="s">
        <v>48</v>
      </c>
      <c r="G97" s="468" t="s">
        <v>49</v>
      </c>
      <c r="H97" s="469"/>
      <c r="I97" s="469"/>
      <c r="J97" s="469"/>
      <c r="K97" s="470"/>
    </row>
    <row r="98" spans="1:11" x14ac:dyDescent="0.25">
      <c r="A98" s="4" t="s">
        <v>9</v>
      </c>
      <c r="B98" s="471" t="s">
        <v>77</v>
      </c>
      <c r="C98" s="471"/>
      <c r="D98" s="471"/>
      <c r="E98" s="471"/>
      <c r="F98" s="11" t="s">
        <v>50</v>
      </c>
      <c r="G98" s="471" t="s">
        <v>80</v>
      </c>
      <c r="H98" s="471"/>
      <c r="I98" s="471"/>
      <c r="J98" s="471"/>
      <c r="K98" s="471"/>
    </row>
    <row r="99" spans="1:11" x14ac:dyDescent="0.25">
      <c r="A99" s="464" t="s">
        <v>0</v>
      </c>
      <c r="B99" s="464" t="s">
        <v>1</v>
      </c>
      <c r="C99" s="464" t="s">
        <v>2</v>
      </c>
      <c r="D99" s="464"/>
      <c r="E99" s="464"/>
      <c r="F99" s="464" t="s">
        <v>3</v>
      </c>
      <c r="G99" s="464"/>
      <c r="H99" s="464"/>
      <c r="I99" s="464" t="s">
        <v>4</v>
      </c>
      <c r="J99" s="464"/>
      <c r="K99" s="464"/>
    </row>
    <row r="100" spans="1:11" x14ac:dyDescent="0.25">
      <c r="A100" s="464"/>
      <c r="B100" s="464"/>
      <c r="C100" s="2" t="s">
        <v>5</v>
      </c>
      <c r="D100" s="3" t="s">
        <v>6</v>
      </c>
      <c r="E100" s="2" t="s">
        <v>7</v>
      </c>
      <c r="F100" s="2" t="s">
        <v>5</v>
      </c>
      <c r="G100" s="3" t="s">
        <v>6</v>
      </c>
      <c r="H100" s="3" t="s">
        <v>7</v>
      </c>
      <c r="I100" s="2" t="s">
        <v>5</v>
      </c>
      <c r="J100" s="3" t="s">
        <v>6</v>
      </c>
      <c r="K100" s="2" t="s">
        <v>7</v>
      </c>
    </row>
    <row r="101" spans="1:11" x14ac:dyDescent="0.25">
      <c r="A101" s="1"/>
      <c r="B101" s="1" t="s">
        <v>42</v>
      </c>
      <c r="C101" s="1"/>
      <c r="D101" s="34"/>
      <c r="E101" s="1"/>
      <c r="F101" s="1"/>
      <c r="G101" s="34"/>
      <c r="H101" s="34"/>
      <c r="I101" s="1">
        <v>0</v>
      </c>
      <c r="J101" s="34">
        <v>0</v>
      </c>
      <c r="K101" s="1">
        <v>0</v>
      </c>
    </row>
    <row r="102" spans="1:11" ht="15.75" x14ac:dyDescent="0.25">
      <c r="A102" s="7">
        <v>42009</v>
      </c>
      <c r="B102" s="8" t="s">
        <v>43</v>
      </c>
      <c r="C102" s="6">
        <v>500</v>
      </c>
      <c r="D102" s="27">
        <f>+E102/C102</f>
        <v>9.8799999999999999E-2</v>
      </c>
      <c r="E102" s="8">
        <v>49.4</v>
      </c>
      <c r="F102" s="8"/>
      <c r="G102" s="27"/>
      <c r="H102" s="27"/>
      <c r="I102" s="6">
        <f>+I101+C102</f>
        <v>500</v>
      </c>
      <c r="J102" s="27">
        <f>+K102/I102</f>
        <v>9.8799999999999999E-2</v>
      </c>
      <c r="K102" s="8">
        <f>+K101+E102</f>
        <v>49.4</v>
      </c>
    </row>
    <row r="103" spans="1:11" x14ac:dyDescent="0.25">
      <c r="A103" s="307"/>
      <c r="B103" s="309" t="s">
        <v>612</v>
      </c>
      <c r="C103" s="222"/>
      <c r="D103" s="223"/>
      <c r="E103" s="222"/>
      <c r="F103" s="222">
        <v>1</v>
      </c>
      <c r="G103" s="223">
        <f>+J102</f>
        <v>9.8799999999999999E-2</v>
      </c>
      <c r="H103" s="223">
        <f>+G103*F103</f>
        <v>9.8799999999999999E-2</v>
      </c>
      <c r="I103" s="222">
        <f>+I102-F103</f>
        <v>499</v>
      </c>
      <c r="J103" s="223">
        <f>+K103/I103</f>
        <v>9.8799999999999999E-2</v>
      </c>
      <c r="K103" s="223">
        <f>+K102-H103</f>
        <v>49.301200000000001</v>
      </c>
    </row>
    <row r="104" spans="1:11" x14ac:dyDescent="0.25">
      <c r="A104" s="5"/>
      <c r="B104" s="2"/>
      <c r="C104" s="2"/>
      <c r="D104" s="3"/>
      <c r="E104" s="2"/>
      <c r="F104" s="2"/>
      <c r="G104" s="3"/>
      <c r="H104" s="3"/>
      <c r="I104" s="2"/>
      <c r="J104" s="3"/>
      <c r="K104" s="3"/>
    </row>
    <row r="105" spans="1:11" x14ac:dyDescent="0.25">
      <c r="A105" s="5"/>
      <c r="B105" s="2"/>
      <c r="C105" s="2"/>
      <c r="D105" s="3"/>
      <c r="E105" s="2"/>
      <c r="F105" s="2"/>
      <c r="G105" s="3"/>
      <c r="H105" s="3"/>
      <c r="I105" s="2"/>
      <c r="J105" s="3"/>
      <c r="K105" s="3"/>
    </row>
    <row r="108" spans="1:11" ht="15.75" x14ac:dyDescent="0.25">
      <c r="A108" s="456" t="s">
        <v>10</v>
      </c>
      <c r="B108" s="456"/>
      <c r="C108" s="456"/>
      <c r="D108" s="456"/>
      <c r="E108" s="456"/>
      <c r="F108" s="456"/>
      <c r="G108" s="456"/>
      <c r="H108" s="456"/>
      <c r="I108" s="456"/>
      <c r="J108" s="456"/>
      <c r="K108" s="456"/>
    </row>
    <row r="109" spans="1:11" ht="15.75" x14ac:dyDescent="0.25">
      <c r="A109" s="456" t="s">
        <v>11</v>
      </c>
      <c r="B109" s="456"/>
      <c r="C109" s="456"/>
      <c r="D109" s="456"/>
      <c r="E109" s="456"/>
      <c r="F109" s="456"/>
      <c r="G109" s="456"/>
      <c r="H109" s="456"/>
      <c r="I109" s="456"/>
      <c r="J109" s="456"/>
      <c r="K109" s="456"/>
    </row>
    <row r="110" spans="1:11" x14ac:dyDescent="0.25">
      <c r="A110" s="2" t="s">
        <v>8</v>
      </c>
      <c r="B110" s="465" t="s">
        <v>81</v>
      </c>
      <c r="C110" s="466"/>
      <c r="D110" s="466"/>
      <c r="E110" s="467"/>
      <c r="F110" s="9" t="s">
        <v>48</v>
      </c>
      <c r="G110" s="468" t="s">
        <v>49</v>
      </c>
      <c r="H110" s="469"/>
      <c r="I110" s="469"/>
      <c r="J110" s="469"/>
      <c r="K110" s="470"/>
    </row>
    <row r="111" spans="1:11" x14ac:dyDescent="0.25">
      <c r="A111" s="4" t="s">
        <v>9</v>
      </c>
      <c r="B111" s="471" t="s">
        <v>77</v>
      </c>
      <c r="C111" s="471"/>
      <c r="D111" s="471"/>
      <c r="E111" s="471"/>
      <c r="F111" s="11" t="s">
        <v>50</v>
      </c>
      <c r="G111" s="471" t="s">
        <v>82</v>
      </c>
      <c r="H111" s="471"/>
      <c r="I111" s="471"/>
      <c r="J111" s="471"/>
      <c r="K111" s="471"/>
    </row>
    <row r="112" spans="1:11" x14ac:dyDescent="0.25">
      <c r="A112" s="464" t="s">
        <v>0</v>
      </c>
      <c r="B112" s="464" t="s">
        <v>1</v>
      </c>
      <c r="C112" s="464" t="s">
        <v>2</v>
      </c>
      <c r="D112" s="464"/>
      <c r="E112" s="464"/>
      <c r="F112" s="464" t="s">
        <v>3</v>
      </c>
      <c r="G112" s="464"/>
      <c r="H112" s="464"/>
      <c r="I112" s="464" t="s">
        <v>4</v>
      </c>
      <c r="J112" s="464"/>
      <c r="K112" s="464"/>
    </row>
    <row r="113" spans="1:11" x14ac:dyDescent="0.25">
      <c r="A113" s="464"/>
      <c r="B113" s="464"/>
      <c r="C113" s="2" t="s">
        <v>5</v>
      </c>
      <c r="D113" s="3" t="s">
        <v>6</v>
      </c>
      <c r="E113" s="2" t="s">
        <v>7</v>
      </c>
      <c r="F113" s="2" t="s">
        <v>5</v>
      </c>
      <c r="G113" s="3" t="s">
        <v>6</v>
      </c>
      <c r="H113" s="3" t="s">
        <v>7</v>
      </c>
      <c r="I113" s="2" t="s">
        <v>5</v>
      </c>
      <c r="J113" s="3" t="s">
        <v>6</v>
      </c>
      <c r="K113" s="2" t="s">
        <v>7</v>
      </c>
    </row>
    <row r="114" spans="1:11" x14ac:dyDescent="0.25">
      <c r="A114" s="1"/>
      <c r="B114" s="1" t="s">
        <v>42</v>
      </c>
      <c r="C114" s="1"/>
      <c r="D114" s="34"/>
      <c r="E114" s="1"/>
      <c r="F114" s="1"/>
      <c r="G114" s="34"/>
      <c r="H114" s="34"/>
      <c r="I114" s="1">
        <v>0</v>
      </c>
      <c r="J114" s="34">
        <v>0</v>
      </c>
      <c r="K114" s="1">
        <v>0</v>
      </c>
    </row>
    <row r="115" spans="1:11" ht="15.75" x14ac:dyDescent="0.25">
      <c r="A115" s="7">
        <v>42009</v>
      </c>
      <c r="B115" s="8" t="s">
        <v>43</v>
      </c>
      <c r="C115" s="6">
        <v>50</v>
      </c>
      <c r="D115" s="27">
        <f>+E115/C115</f>
        <v>0.63</v>
      </c>
      <c r="E115" s="8">
        <v>31.5</v>
      </c>
      <c r="F115" s="8"/>
      <c r="G115" s="27"/>
      <c r="H115" s="27"/>
      <c r="I115" s="6">
        <f>+I114+C115</f>
        <v>50</v>
      </c>
      <c r="J115" s="27">
        <f>+K115/I115</f>
        <v>0.63</v>
      </c>
      <c r="K115" s="8">
        <f>+K114+E115</f>
        <v>31.5</v>
      </c>
    </row>
    <row r="116" spans="1:11" x14ac:dyDescent="0.25">
      <c r="A116" s="313"/>
      <c r="B116" s="309" t="s">
        <v>523</v>
      </c>
      <c r="C116" s="222"/>
      <c r="D116" s="223"/>
      <c r="E116" s="222"/>
      <c r="F116" s="222">
        <v>1</v>
      </c>
      <c r="G116" s="223">
        <f>+J115</f>
        <v>0.63</v>
      </c>
      <c r="H116" s="223">
        <f>+G116*F116</f>
        <v>0.63</v>
      </c>
      <c r="I116" s="222">
        <f>+I115-F116</f>
        <v>49</v>
      </c>
      <c r="J116" s="223">
        <f>+K116/I116</f>
        <v>0.63</v>
      </c>
      <c r="K116" s="223">
        <f>+K115-H116</f>
        <v>30.87</v>
      </c>
    </row>
    <row r="117" spans="1:11" x14ac:dyDescent="0.25">
      <c r="A117" s="5"/>
      <c r="B117" s="2"/>
      <c r="C117" s="2"/>
      <c r="D117" s="3"/>
      <c r="E117" s="2"/>
      <c r="F117" s="2"/>
      <c r="G117" s="3"/>
      <c r="H117" s="3"/>
      <c r="I117" s="2"/>
      <c r="J117" s="3"/>
      <c r="K117" s="3"/>
    </row>
    <row r="118" spans="1:11" x14ac:dyDescent="0.25">
      <c r="A118" s="5"/>
      <c r="B118" s="2"/>
      <c r="C118" s="2"/>
      <c r="D118" s="3"/>
      <c r="E118" s="2"/>
      <c r="F118" s="2"/>
      <c r="G118" s="3"/>
      <c r="H118" s="3"/>
      <c r="I118" s="2"/>
      <c r="J118" s="3"/>
      <c r="K118" s="3"/>
    </row>
    <row r="122" spans="1:11" ht="15.75" x14ac:dyDescent="0.25">
      <c r="A122" s="456" t="s">
        <v>10</v>
      </c>
      <c r="B122" s="456"/>
      <c r="C122" s="456"/>
      <c r="D122" s="456"/>
      <c r="E122" s="456"/>
      <c r="F122" s="456"/>
      <c r="G122" s="456"/>
      <c r="H122" s="456"/>
      <c r="I122" s="456"/>
      <c r="J122" s="456"/>
      <c r="K122" s="456"/>
    </row>
    <row r="123" spans="1:11" ht="15.75" x14ac:dyDescent="0.25">
      <c r="A123" s="456" t="s">
        <v>11</v>
      </c>
      <c r="B123" s="456"/>
      <c r="C123" s="456"/>
      <c r="D123" s="456"/>
      <c r="E123" s="456"/>
      <c r="F123" s="456"/>
      <c r="G123" s="456"/>
      <c r="H123" s="456"/>
      <c r="I123" s="456"/>
      <c r="J123" s="456"/>
      <c r="K123" s="456"/>
    </row>
    <row r="124" spans="1:11" x14ac:dyDescent="0.25">
      <c r="A124" s="2" t="s">
        <v>8</v>
      </c>
      <c r="B124" s="465" t="s">
        <v>83</v>
      </c>
      <c r="C124" s="466"/>
      <c r="D124" s="466"/>
      <c r="E124" s="467"/>
      <c r="F124" s="9" t="s">
        <v>48</v>
      </c>
      <c r="G124" s="468" t="s">
        <v>49</v>
      </c>
      <c r="H124" s="469"/>
      <c r="I124" s="469"/>
      <c r="J124" s="469"/>
      <c r="K124" s="470"/>
    </row>
    <row r="125" spans="1:11" x14ac:dyDescent="0.25">
      <c r="A125" s="4" t="s">
        <v>9</v>
      </c>
      <c r="B125" s="471" t="s">
        <v>77</v>
      </c>
      <c r="C125" s="471"/>
      <c r="D125" s="471"/>
      <c r="E125" s="471"/>
      <c r="F125" s="11" t="s">
        <v>50</v>
      </c>
      <c r="G125" s="471" t="s">
        <v>82</v>
      </c>
      <c r="H125" s="471"/>
      <c r="I125" s="471"/>
      <c r="J125" s="471"/>
      <c r="K125" s="471"/>
    </row>
    <row r="126" spans="1:11" x14ac:dyDescent="0.25">
      <c r="A126" s="464" t="s">
        <v>0</v>
      </c>
      <c r="B126" s="464" t="s">
        <v>1</v>
      </c>
      <c r="C126" s="464" t="s">
        <v>2</v>
      </c>
      <c r="D126" s="464"/>
      <c r="E126" s="464"/>
      <c r="F126" s="464" t="s">
        <v>3</v>
      </c>
      <c r="G126" s="464"/>
      <c r="H126" s="464"/>
      <c r="I126" s="464" t="s">
        <v>4</v>
      </c>
      <c r="J126" s="464"/>
      <c r="K126" s="464"/>
    </row>
    <row r="127" spans="1:11" x14ac:dyDescent="0.25">
      <c r="A127" s="464"/>
      <c r="B127" s="464"/>
      <c r="C127" s="2" t="s">
        <v>5</v>
      </c>
      <c r="D127" s="3" t="s">
        <v>6</v>
      </c>
      <c r="E127" s="2" t="s">
        <v>7</v>
      </c>
      <c r="F127" s="2" t="s">
        <v>5</v>
      </c>
      <c r="G127" s="3" t="s">
        <v>6</v>
      </c>
      <c r="H127" s="3" t="s">
        <v>7</v>
      </c>
      <c r="I127" s="2" t="s">
        <v>5</v>
      </c>
      <c r="J127" s="3" t="s">
        <v>6</v>
      </c>
      <c r="K127" s="2" t="s">
        <v>7</v>
      </c>
    </row>
    <row r="128" spans="1:11" x14ac:dyDescent="0.25">
      <c r="A128" s="1"/>
      <c r="B128" s="1" t="s">
        <v>42</v>
      </c>
      <c r="C128" s="1"/>
      <c r="D128" s="34"/>
      <c r="E128" s="1"/>
      <c r="F128" s="1"/>
      <c r="G128" s="34"/>
      <c r="H128" s="34"/>
      <c r="I128" s="1">
        <v>0</v>
      </c>
      <c r="J128" s="34">
        <v>0</v>
      </c>
      <c r="K128" s="1">
        <v>0</v>
      </c>
    </row>
    <row r="129" spans="1:11" ht="15.75" x14ac:dyDescent="0.25">
      <c r="A129" s="7">
        <v>42009</v>
      </c>
      <c r="B129" s="8" t="s">
        <v>43</v>
      </c>
      <c r="C129" s="6">
        <v>50</v>
      </c>
      <c r="D129" s="27">
        <f>+E129/C129</f>
        <v>0.33700000000000002</v>
      </c>
      <c r="E129" s="8">
        <v>16.850000000000001</v>
      </c>
      <c r="F129" s="8"/>
      <c r="G129" s="27"/>
      <c r="H129" s="27"/>
      <c r="I129" s="6">
        <f>+I128+C129</f>
        <v>50</v>
      </c>
      <c r="J129" s="27">
        <f>+K129/I129</f>
        <v>0.33700000000000002</v>
      </c>
      <c r="K129" s="8">
        <f>+K128+E129</f>
        <v>16.850000000000001</v>
      </c>
    </row>
    <row r="130" spans="1:11" x14ac:dyDescent="0.25">
      <c r="A130" s="307"/>
      <c r="B130" s="309" t="s">
        <v>561</v>
      </c>
      <c r="C130" s="222"/>
      <c r="D130" s="223"/>
      <c r="E130" s="222"/>
      <c r="F130" s="222">
        <v>1</v>
      </c>
      <c r="G130" s="223">
        <f>+J129</f>
        <v>0.33700000000000002</v>
      </c>
      <c r="H130" s="223">
        <f>+G130*F130</f>
        <v>0.33700000000000002</v>
      </c>
      <c r="I130" s="222">
        <f>+I129-F130</f>
        <v>49</v>
      </c>
      <c r="J130" s="342">
        <f>+K130/I130</f>
        <v>0.33700000000000002</v>
      </c>
      <c r="K130" s="223">
        <f>+K129-H130</f>
        <v>16.513000000000002</v>
      </c>
    </row>
    <row r="131" spans="1:11" x14ac:dyDescent="0.25">
      <c r="A131" s="5"/>
      <c r="B131" s="2"/>
      <c r="C131" s="2"/>
      <c r="D131" s="3"/>
      <c r="E131" s="2"/>
      <c r="F131" s="2"/>
      <c r="G131" s="3"/>
      <c r="H131" s="3"/>
      <c r="I131" s="2"/>
      <c r="J131" s="3"/>
      <c r="K131" s="3"/>
    </row>
    <row r="132" spans="1:11" x14ac:dyDescent="0.25">
      <c r="A132" s="5"/>
      <c r="B132" s="2"/>
      <c r="C132" s="2"/>
      <c r="D132" s="3"/>
      <c r="E132" s="2"/>
      <c r="F132" s="2"/>
      <c r="G132" s="3"/>
      <c r="H132" s="3"/>
      <c r="I132" s="2"/>
      <c r="J132" s="3"/>
      <c r="K132" s="3"/>
    </row>
    <row r="135" spans="1:11" ht="15.75" x14ac:dyDescent="0.25">
      <c r="A135" s="456" t="s">
        <v>10</v>
      </c>
      <c r="B135" s="456"/>
      <c r="C135" s="456"/>
      <c r="D135" s="456"/>
      <c r="E135" s="456"/>
      <c r="F135" s="456"/>
      <c r="G135" s="456"/>
      <c r="H135" s="456"/>
      <c r="I135" s="456"/>
      <c r="J135" s="456"/>
      <c r="K135" s="456"/>
    </row>
    <row r="136" spans="1:11" ht="15.75" x14ac:dyDescent="0.25">
      <c r="A136" s="456" t="s">
        <v>11</v>
      </c>
      <c r="B136" s="456"/>
      <c r="C136" s="456"/>
      <c r="D136" s="456"/>
      <c r="E136" s="456"/>
      <c r="F136" s="456"/>
      <c r="G136" s="456"/>
      <c r="H136" s="456"/>
      <c r="I136" s="456"/>
      <c r="J136" s="456"/>
      <c r="K136" s="456"/>
    </row>
    <row r="137" spans="1:11" x14ac:dyDescent="0.25">
      <c r="A137" s="2" t="s">
        <v>8</v>
      </c>
      <c r="B137" s="465" t="s">
        <v>84</v>
      </c>
      <c r="C137" s="466"/>
      <c r="D137" s="466"/>
      <c r="E137" s="467"/>
      <c r="F137" s="9" t="s">
        <v>48</v>
      </c>
      <c r="G137" s="468" t="s">
        <v>49</v>
      </c>
      <c r="H137" s="469"/>
      <c r="I137" s="469"/>
      <c r="J137" s="469"/>
      <c r="K137" s="470"/>
    </row>
    <row r="138" spans="1:11" x14ac:dyDescent="0.25">
      <c r="A138" s="4" t="s">
        <v>9</v>
      </c>
      <c r="B138" s="471" t="s">
        <v>77</v>
      </c>
      <c r="C138" s="471"/>
      <c r="D138" s="471"/>
      <c r="E138" s="471"/>
      <c r="F138" s="11" t="s">
        <v>50</v>
      </c>
      <c r="G138" s="471" t="s">
        <v>85</v>
      </c>
      <c r="H138" s="471"/>
      <c r="I138" s="471"/>
      <c r="J138" s="471"/>
      <c r="K138" s="471"/>
    </row>
    <row r="139" spans="1:11" x14ac:dyDescent="0.25">
      <c r="A139" s="464" t="s">
        <v>0</v>
      </c>
      <c r="B139" s="464" t="s">
        <v>1</v>
      </c>
      <c r="C139" s="464" t="s">
        <v>2</v>
      </c>
      <c r="D139" s="464"/>
      <c r="E139" s="464"/>
      <c r="F139" s="464" t="s">
        <v>3</v>
      </c>
      <c r="G139" s="464"/>
      <c r="H139" s="464"/>
      <c r="I139" s="464" t="s">
        <v>4</v>
      </c>
      <c r="J139" s="464"/>
      <c r="K139" s="464"/>
    </row>
    <row r="140" spans="1:11" x14ac:dyDescent="0.25">
      <c r="A140" s="464"/>
      <c r="B140" s="464"/>
      <c r="C140" s="2" t="s">
        <v>5</v>
      </c>
      <c r="D140" s="3" t="s">
        <v>6</v>
      </c>
      <c r="E140" s="2" t="s">
        <v>7</v>
      </c>
      <c r="F140" s="2" t="s">
        <v>5</v>
      </c>
      <c r="G140" s="3" t="s">
        <v>6</v>
      </c>
      <c r="H140" s="3" t="s">
        <v>7</v>
      </c>
      <c r="I140" s="2" t="s">
        <v>5</v>
      </c>
      <c r="J140" s="3" t="s">
        <v>6</v>
      </c>
      <c r="K140" s="2" t="s">
        <v>7</v>
      </c>
    </row>
    <row r="141" spans="1:11" x14ac:dyDescent="0.25">
      <c r="A141" s="1"/>
      <c r="B141" s="1" t="s">
        <v>42</v>
      </c>
      <c r="C141" s="1"/>
      <c r="D141" s="34"/>
      <c r="E141" s="1"/>
      <c r="F141" s="1"/>
      <c r="G141" s="34"/>
      <c r="H141" s="34"/>
      <c r="I141" s="1">
        <v>0</v>
      </c>
      <c r="J141" s="34">
        <v>0</v>
      </c>
      <c r="K141" s="1">
        <v>0</v>
      </c>
    </row>
    <row r="142" spans="1:11" ht="15.75" x14ac:dyDescent="0.25">
      <c r="A142" s="7">
        <v>42009</v>
      </c>
      <c r="B142" s="8" t="s">
        <v>43</v>
      </c>
      <c r="C142" s="6">
        <v>96</v>
      </c>
      <c r="D142" s="27">
        <f>+E142/C142</f>
        <v>0.26250000000000001</v>
      </c>
      <c r="E142" s="8">
        <v>25.2</v>
      </c>
      <c r="F142" s="8"/>
      <c r="G142" s="27"/>
      <c r="H142" s="27"/>
      <c r="I142" s="6">
        <f>+I141+C142</f>
        <v>96</v>
      </c>
      <c r="J142" s="27">
        <f>+K142/I142</f>
        <v>0.26250000000000001</v>
      </c>
      <c r="K142" s="8">
        <f>+K141+E142</f>
        <v>25.2</v>
      </c>
    </row>
    <row r="143" spans="1:11" x14ac:dyDescent="0.25">
      <c r="A143" s="307"/>
      <c r="B143" s="309" t="s">
        <v>558</v>
      </c>
      <c r="C143" s="222"/>
      <c r="D143" s="223"/>
      <c r="E143" s="222"/>
      <c r="F143" s="222">
        <v>1</v>
      </c>
      <c r="G143" s="223">
        <f>+J142</f>
        <v>0.26250000000000001</v>
      </c>
      <c r="H143" s="223">
        <f>+G143*F143</f>
        <v>0.26250000000000001</v>
      </c>
      <c r="I143" s="222">
        <f>+I142-F143</f>
        <v>95</v>
      </c>
      <c r="J143" s="342">
        <f>+K143/I143</f>
        <v>0.26250000000000001</v>
      </c>
      <c r="K143" s="223">
        <f>+K142-H143</f>
        <v>24.9375</v>
      </c>
    </row>
    <row r="144" spans="1:11" x14ac:dyDescent="0.25">
      <c r="A144" s="5"/>
      <c r="B144" s="2"/>
      <c r="C144" s="2"/>
      <c r="D144" s="3"/>
      <c r="E144" s="2"/>
      <c r="F144" s="2"/>
      <c r="G144" s="3"/>
      <c r="H144" s="3"/>
      <c r="I144" s="2"/>
      <c r="J144" s="3"/>
      <c r="K144" s="3"/>
    </row>
    <row r="145" spans="1:11" x14ac:dyDescent="0.25">
      <c r="A145" s="5"/>
      <c r="B145" s="2"/>
      <c r="C145" s="2"/>
      <c r="D145" s="3"/>
      <c r="E145" s="2"/>
      <c r="F145" s="2"/>
      <c r="G145" s="3"/>
      <c r="H145" s="3"/>
      <c r="I145" s="2"/>
      <c r="J145" s="3"/>
      <c r="K145" s="3"/>
    </row>
    <row r="149" spans="1:11" ht="15.75" x14ac:dyDescent="0.25">
      <c r="A149" s="456" t="s">
        <v>10</v>
      </c>
      <c r="B149" s="456"/>
      <c r="C149" s="456"/>
      <c r="D149" s="456"/>
      <c r="E149" s="456"/>
      <c r="F149" s="456"/>
      <c r="G149" s="456"/>
      <c r="H149" s="456"/>
      <c r="I149" s="456"/>
      <c r="J149" s="456"/>
      <c r="K149" s="456"/>
    </row>
    <row r="150" spans="1:11" ht="15.75" x14ac:dyDescent="0.25">
      <c r="A150" s="456" t="s">
        <v>11</v>
      </c>
      <c r="B150" s="456"/>
      <c r="C150" s="456"/>
      <c r="D150" s="456"/>
      <c r="E150" s="456"/>
      <c r="F150" s="456"/>
      <c r="G150" s="456"/>
      <c r="H150" s="456"/>
      <c r="I150" s="456"/>
      <c r="J150" s="456"/>
      <c r="K150" s="456"/>
    </row>
    <row r="151" spans="1:11" x14ac:dyDescent="0.25">
      <c r="A151" s="2" t="s">
        <v>8</v>
      </c>
      <c r="B151" s="465" t="s">
        <v>86</v>
      </c>
      <c r="C151" s="466"/>
      <c r="D151" s="466"/>
      <c r="E151" s="467"/>
      <c r="F151" s="9" t="s">
        <v>48</v>
      </c>
      <c r="G151" s="468" t="s">
        <v>49</v>
      </c>
      <c r="H151" s="469"/>
      <c r="I151" s="469"/>
      <c r="J151" s="469"/>
      <c r="K151" s="470"/>
    </row>
    <row r="152" spans="1:11" x14ac:dyDescent="0.25">
      <c r="A152" s="4" t="s">
        <v>9</v>
      </c>
      <c r="B152" s="471" t="s">
        <v>66</v>
      </c>
      <c r="C152" s="471"/>
      <c r="D152" s="471"/>
      <c r="E152" s="471"/>
      <c r="F152" s="11" t="s">
        <v>50</v>
      </c>
      <c r="G152" s="471" t="s">
        <v>73</v>
      </c>
      <c r="H152" s="471"/>
      <c r="I152" s="471"/>
      <c r="J152" s="471"/>
      <c r="K152" s="471"/>
    </row>
    <row r="153" spans="1:11" x14ac:dyDescent="0.25">
      <c r="A153" s="464" t="s">
        <v>0</v>
      </c>
      <c r="B153" s="464" t="s">
        <v>1</v>
      </c>
      <c r="C153" s="464" t="s">
        <v>2</v>
      </c>
      <c r="D153" s="464"/>
      <c r="E153" s="464"/>
      <c r="F153" s="464" t="s">
        <v>3</v>
      </c>
      <c r="G153" s="464"/>
      <c r="H153" s="464"/>
      <c r="I153" s="464" t="s">
        <v>4</v>
      </c>
      <c r="J153" s="464"/>
      <c r="K153" s="464"/>
    </row>
    <row r="154" spans="1:11" x14ac:dyDescent="0.25">
      <c r="A154" s="464"/>
      <c r="B154" s="464"/>
      <c r="C154" s="2" t="s">
        <v>5</v>
      </c>
      <c r="D154" s="3" t="s">
        <v>6</v>
      </c>
      <c r="E154" s="2" t="s">
        <v>7</v>
      </c>
      <c r="F154" s="2" t="s">
        <v>5</v>
      </c>
      <c r="G154" s="3" t="s">
        <v>6</v>
      </c>
      <c r="H154" s="3" t="s">
        <v>7</v>
      </c>
      <c r="I154" s="2" t="s">
        <v>5</v>
      </c>
      <c r="J154" s="3" t="s">
        <v>6</v>
      </c>
      <c r="K154" s="2" t="s">
        <v>7</v>
      </c>
    </row>
    <row r="155" spans="1:11" x14ac:dyDescent="0.25">
      <c r="A155" s="1"/>
      <c r="B155" s="1" t="s">
        <v>42</v>
      </c>
      <c r="C155" s="1"/>
      <c r="D155" s="34"/>
      <c r="E155" s="1"/>
      <c r="F155" s="1"/>
      <c r="G155" s="34"/>
      <c r="H155" s="34"/>
      <c r="I155" s="1">
        <v>0</v>
      </c>
      <c r="J155" s="34">
        <v>0</v>
      </c>
      <c r="K155" s="1">
        <v>0</v>
      </c>
    </row>
    <row r="156" spans="1:11" ht="15.75" x14ac:dyDescent="0.25">
      <c r="A156" s="5">
        <v>42009</v>
      </c>
      <c r="B156" s="2" t="s">
        <v>43</v>
      </c>
      <c r="C156" s="36">
        <v>2000</v>
      </c>
      <c r="D156" s="3">
        <f>+E156/C156</f>
        <v>4.1119999999999997E-2</v>
      </c>
      <c r="E156" s="2">
        <v>82.24</v>
      </c>
      <c r="F156" s="2"/>
      <c r="G156" s="3"/>
      <c r="H156" s="3"/>
      <c r="I156" s="36">
        <f>+I155+C156</f>
        <v>2000</v>
      </c>
      <c r="J156" s="3">
        <f t="shared" ref="J156:J162" si="0">+K156/I156</f>
        <v>4.1119999999999997E-2</v>
      </c>
      <c r="K156" s="2">
        <f>+K155+E156</f>
        <v>82.24</v>
      </c>
    </row>
    <row r="157" spans="1:11" ht="15.75" x14ac:dyDescent="0.25">
      <c r="A157" s="106">
        <v>42284</v>
      </c>
      <c r="B157" s="107" t="s">
        <v>330</v>
      </c>
      <c r="C157" s="107"/>
      <c r="D157" s="107"/>
      <c r="E157" s="107"/>
      <c r="F157" s="107">
        <v>0.5</v>
      </c>
      <c r="G157" s="108">
        <f>+J156</f>
        <v>4.1119999999999997E-2</v>
      </c>
      <c r="H157" s="108">
        <f t="shared" ref="H157:H162" si="1">+G157*F157</f>
        <v>2.0559999999999998E-2</v>
      </c>
      <c r="I157" s="107">
        <f t="shared" ref="I157:I162" si="2">+I156-F157</f>
        <v>1999.5</v>
      </c>
      <c r="J157" s="108">
        <f t="shared" si="0"/>
        <v>4.1119999999999997E-2</v>
      </c>
      <c r="K157" s="108">
        <f t="shared" ref="K157:K162" si="3">+K156-H157</f>
        <v>82.219439999999992</v>
      </c>
    </row>
    <row r="158" spans="1:11" ht="15.75" x14ac:dyDescent="0.25">
      <c r="A158" s="67">
        <v>42290</v>
      </c>
      <c r="B158" s="107" t="s">
        <v>343</v>
      </c>
      <c r="C158" s="113"/>
      <c r="D158" s="69"/>
      <c r="E158" s="68"/>
      <c r="F158" s="107">
        <v>0.5</v>
      </c>
      <c r="G158" s="108">
        <f>+J157</f>
        <v>4.1119999999999997E-2</v>
      </c>
      <c r="H158" s="108">
        <f t="shared" si="1"/>
        <v>2.0559999999999998E-2</v>
      </c>
      <c r="I158" s="107">
        <f t="shared" si="2"/>
        <v>1999</v>
      </c>
      <c r="J158" s="108">
        <f t="shared" si="0"/>
        <v>4.1119999999999997E-2</v>
      </c>
      <c r="K158" s="108">
        <f t="shared" si="3"/>
        <v>82.198879999999988</v>
      </c>
    </row>
    <row r="159" spans="1:11" ht="30" x14ac:dyDescent="0.25">
      <c r="A159" s="305"/>
      <c r="B159" s="309" t="s">
        <v>516</v>
      </c>
      <c r="C159" s="306"/>
      <c r="D159" s="223"/>
      <c r="E159" s="222"/>
      <c r="F159" s="222">
        <v>0.5</v>
      </c>
      <c r="G159" s="223">
        <f t="shared" ref="G159:G166" si="4">+G158</f>
        <v>4.1119999999999997E-2</v>
      </c>
      <c r="H159" s="310">
        <f t="shared" si="1"/>
        <v>2.0559999999999998E-2</v>
      </c>
      <c r="I159" s="311">
        <f t="shared" si="2"/>
        <v>1998.5</v>
      </c>
      <c r="J159" s="310">
        <f t="shared" si="0"/>
        <v>4.111999999999999E-2</v>
      </c>
      <c r="K159" s="310">
        <f t="shared" si="3"/>
        <v>82.178319999999985</v>
      </c>
    </row>
    <row r="160" spans="1:11" ht="27" customHeight="1" x14ac:dyDescent="0.25">
      <c r="A160" s="307"/>
      <c r="B160" s="309" t="s">
        <v>531</v>
      </c>
      <c r="C160" s="222"/>
      <c r="D160" s="223"/>
      <c r="E160" s="222"/>
      <c r="F160" s="222">
        <v>0.5</v>
      </c>
      <c r="G160" s="223">
        <f t="shared" si="4"/>
        <v>4.1119999999999997E-2</v>
      </c>
      <c r="H160" s="310">
        <f t="shared" si="1"/>
        <v>2.0559999999999998E-2</v>
      </c>
      <c r="I160" s="311">
        <f t="shared" si="2"/>
        <v>1998</v>
      </c>
      <c r="J160" s="310">
        <f t="shared" si="0"/>
        <v>4.111999999999999E-2</v>
      </c>
      <c r="K160" s="310">
        <f t="shared" si="3"/>
        <v>82.157759999999982</v>
      </c>
    </row>
    <row r="161" spans="1:11" ht="30" x14ac:dyDescent="0.25">
      <c r="A161" s="307"/>
      <c r="B161" s="309" t="s">
        <v>553</v>
      </c>
      <c r="C161" s="222"/>
      <c r="D161" s="223"/>
      <c r="E161" s="222"/>
      <c r="F161" s="222">
        <v>0.5</v>
      </c>
      <c r="G161" s="223">
        <f t="shared" si="4"/>
        <v>4.1119999999999997E-2</v>
      </c>
      <c r="H161" s="310">
        <f t="shared" si="1"/>
        <v>2.0559999999999998E-2</v>
      </c>
      <c r="I161" s="311">
        <f t="shared" si="2"/>
        <v>1997.5</v>
      </c>
      <c r="J161" s="310">
        <f t="shared" si="0"/>
        <v>4.111999999999999E-2</v>
      </c>
      <c r="K161" s="310">
        <f t="shared" si="3"/>
        <v>82.137199999999979</v>
      </c>
    </row>
    <row r="162" spans="1:11" ht="30" x14ac:dyDescent="0.25">
      <c r="A162" s="307"/>
      <c r="B162" s="309" t="s">
        <v>563</v>
      </c>
      <c r="C162" s="222"/>
      <c r="D162" s="223"/>
      <c r="E162" s="222"/>
      <c r="F162" s="222">
        <v>0.5</v>
      </c>
      <c r="G162" s="223">
        <f t="shared" si="4"/>
        <v>4.1119999999999997E-2</v>
      </c>
      <c r="H162" s="310">
        <f t="shared" si="1"/>
        <v>2.0559999999999998E-2</v>
      </c>
      <c r="I162" s="311">
        <f t="shared" si="2"/>
        <v>1997</v>
      </c>
      <c r="J162" s="310">
        <f t="shared" si="0"/>
        <v>4.111999999999999E-2</v>
      </c>
      <c r="K162" s="310">
        <f t="shared" si="3"/>
        <v>82.116639999999975</v>
      </c>
    </row>
    <row r="163" spans="1:11" ht="15.75" x14ac:dyDescent="0.25">
      <c r="A163" s="307"/>
      <c r="B163" s="309" t="s">
        <v>590</v>
      </c>
      <c r="C163" s="222"/>
      <c r="D163" s="223"/>
      <c r="E163" s="222"/>
      <c r="F163" s="222">
        <v>0.5</v>
      </c>
      <c r="G163" s="223">
        <f t="shared" si="4"/>
        <v>4.1119999999999997E-2</v>
      </c>
      <c r="H163" s="310">
        <f t="shared" ref="H163" si="5">+G163*F163</f>
        <v>2.0559999999999998E-2</v>
      </c>
      <c r="I163" s="311">
        <f t="shared" ref="I163" si="6">+I162-F163</f>
        <v>1996.5</v>
      </c>
      <c r="J163" s="310">
        <f t="shared" ref="J163" si="7">+K163/I163</f>
        <v>4.1119999999999983E-2</v>
      </c>
      <c r="K163" s="310">
        <f t="shared" ref="K163" si="8">+K162-H163</f>
        <v>82.096079999999972</v>
      </c>
    </row>
    <row r="164" spans="1:11" ht="15.75" x14ac:dyDescent="0.25">
      <c r="A164" s="307"/>
      <c r="B164" s="309" t="s">
        <v>593</v>
      </c>
      <c r="C164" s="222"/>
      <c r="D164" s="223"/>
      <c r="E164" s="222"/>
      <c r="F164" s="222">
        <v>0.5</v>
      </c>
      <c r="G164" s="223">
        <f t="shared" si="4"/>
        <v>4.1119999999999997E-2</v>
      </c>
      <c r="H164" s="310">
        <f t="shared" ref="H164" si="9">+G164*F164</f>
        <v>2.0559999999999998E-2</v>
      </c>
      <c r="I164" s="311">
        <f t="shared" ref="I164" si="10">+I163-F164</f>
        <v>1996</v>
      </c>
      <c r="J164" s="310">
        <f t="shared" ref="J164" si="11">+K164/I164</f>
        <v>4.1119999999999983E-2</v>
      </c>
      <c r="K164" s="310">
        <f t="shared" ref="K164" si="12">+K163-H164</f>
        <v>82.075519999999969</v>
      </c>
    </row>
    <row r="165" spans="1:11" ht="30" x14ac:dyDescent="0.25">
      <c r="A165" s="307"/>
      <c r="B165" s="309" t="s">
        <v>603</v>
      </c>
      <c r="C165" s="222"/>
      <c r="D165" s="223"/>
      <c r="E165" s="222"/>
      <c r="F165" s="222">
        <v>0.5</v>
      </c>
      <c r="G165" s="223">
        <f t="shared" si="4"/>
        <v>4.1119999999999997E-2</v>
      </c>
      <c r="H165" s="310">
        <f t="shared" ref="H165" si="13">+G165*F165</f>
        <v>2.0559999999999998E-2</v>
      </c>
      <c r="I165" s="311">
        <f t="shared" ref="I165" si="14">+I164-F165</f>
        <v>1995.5</v>
      </c>
      <c r="J165" s="310">
        <f t="shared" ref="J165" si="15">+K165/I165</f>
        <v>4.1119999999999983E-2</v>
      </c>
      <c r="K165" s="310">
        <f t="shared" ref="K165" si="16">+K164-H165</f>
        <v>82.054959999999966</v>
      </c>
    </row>
    <row r="166" spans="1:11" ht="15.75" x14ac:dyDescent="0.25">
      <c r="A166" s="5"/>
      <c r="B166" s="309" t="s">
        <v>610</v>
      </c>
      <c r="C166" s="2"/>
      <c r="D166" s="3"/>
      <c r="E166" s="2"/>
      <c r="F166" s="222">
        <v>0.5</v>
      </c>
      <c r="G166" s="223">
        <f t="shared" si="4"/>
        <v>4.1119999999999997E-2</v>
      </c>
      <c r="H166" s="310">
        <f t="shared" ref="H166" si="17">+G166*F166</f>
        <v>2.0559999999999998E-2</v>
      </c>
      <c r="I166" s="311">
        <f t="shared" ref="I166" si="18">+I165-F166</f>
        <v>1995</v>
      </c>
      <c r="J166" s="310">
        <f t="shared" ref="J166" si="19">+K166/I166</f>
        <v>4.1119999999999983E-2</v>
      </c>
      <c r="K166" s="310">
        <f t="shared" ref="K166" si="20">+K165-H166</f>
        <v>82.034399999999962</v>
      </c>
    </row>
    <row r="170" spans="1:11" ht="15.75" x14ac:dyDescent="0.25">
      <c r="A170" s="456" t="s">
        <v>10</v>
      </c>
      <c r="B170" s="456"/>
      <c r="C170" s="456"/>
      <c r="D170" s="456"/>
      <c r="E170" s="456"/>
      <c r="F170" s="456"/>
      <c r="G170" s="456"/>
      <c r="H170" s="456"/>
      <c r="I170" s="456"/>
      <c r="J170" s="456"/>
      <c r="K170" s="456"/>
    </row>
    <row r="171" spans="1:11" ht="15.75" x14ac:dyDescent="0.25">
      <c r="A171" s="456" t="s">
        <v>11</v>
      </c>
      <c r="B171" s="456"/>
      <c r="C171" s="456"/>
      <c r="D171" s="456"/>
      <c r="E171" s="456"/>
      <c r="F171" s="456"/>
      <c r="G171" s="456"/>
      <c r="H171" s="456"/>
      <c r="I171" s="456"/>
      <c r="J171" s="456"/>
      <c r="K171" s="456"/>
    </row>
    <row r="172" spans="1:11" x14ac:dyDescent="0.25">
      <c r="A172" s="2" t="s">
        <v>8</v>
      </c>
      <c r="B172" s="465" t="s">
        <v>87</v>
      </c>
      <c r="C172" s="466"/>
      <c r="D172" s="466"/>
      <c r="E172" s="467"/>
      <c r="F172" s="9" t="s">
        <v>48</v>
      </c>
      <c r="G172" s="468" t="s">
        <v>49</v>
      </c>
      <c r="H172" s="469"/>
      <c r="I172" s="469"/>
      <c r="J172" s="469"/>
      <c r="K172" s="470"/>
    </row>
    <row r="173" spans="1:11" x14ac:dyDescent="0.25">
      <c r="A173" s="4" t="s">
        <v>9</v>
      </c>
      <c r="B173" s="471" t="s">
        <v>66</v>
      </c>
      <c r="C173" s="471"/>
      <c r="D173" s="471"/>
      <c r="E173" s="471"/>
      <c r="F173" s="11" t="s">
        <v>50</v>
      </c>
      <c r="G173" s="471" t="s">
        <v>67</v>
      </c>
      <c r="H173" s="471"/>
      <c r="I173" s="471"/>
      <c r="J173" s="471"/>
      <c r="K173" s="471"/>
    </row>
    <row r="174" spans="1:11" x14ac:dyDescent="0.25">
      <c r="A174" s="464" t="s">
        <v>0</v>
      </c>
      <c r="B174" s="464" t="s">
        <v>1</v>
      </c>
      <c r="C174" s="464" t="s">
        <v>2</v>
      </c>
      <c r="D174" s="464"/>
      <c r="E174" s="464"/>
      <c r="F174" s="464" t="s">
        <v>3</v>
      </c>
      <c r="G174" s="464"/>
      <c r="H174" s="464"/>
      <c r="I174" s="464" t="s">
        <v>4</v>
      </c>
      <c r="J174" s="464"/>
      <c r="K174" s="464"/>
    </row>
    <row r="175" spans="1:11" x14ac:dyDescent="0.25">
      <c r="A175" s="464"/>
      <c r="B175" s="464"/>
      <c r="C175" s="2" t="s">
        <v>5</v>
      </c>
      <c r="D175" s="3" t="s">
        <v>6</v>
      </c>
      <c r="E175" s="2" t="s">
        <v>7</v>
      </c>
      <c r="F175" s="2" t="s">
        <v>5</v>
      </c>
      <c r="G175" s="3" t="s">
        <v>6</v>
      </c>
      <c r="H175" s="3" t="s">
        <v>7</v>
      </c>
      <c r="I175" s="2" t="s">
        <v>5</v>
      </c>
      <c r="J175" s="3" t="s">
        <v>6</v>
      </c>
      <c r="K175" s="2" t="s">
        <v>7</v>
      </c>
    </row>
    <row r="176" spans="1:11" x14ac:dyDescent="0.25">
      <c r="A176" s="1"/>
      <c r="B176" s="1" t="s">
        <v>42</v>
      </c>
      <c r="C176" s="1"/>
      <c r="D176" s="34"/>
      <c r="E176" s="1"/>
      <c r="F176" s="1"/>
      <c r="G176" s="34"/>
      <c r="H176" s="34"/>
      <c r="I176" s="1">
        <v>0</v>
      </c>
      <c r="J176" s="34">
        <v>0</v>
      </c>
      <c r="K176" s="1">
        <v>0</v>
      </c>
    </row>
    <row r="177" spans="1:11" ht="15.75" x14ac:dyDescent="0.25">
      <c r="A177" s="7">
        <v>42009</v>
      </c>
      <c r="B177" s="8" t="s">
        <v>43</v>
      </c>
      <c r="C177" s="6">
        <v>1000</v>
      </c>
      <c r="D177" s="27">
        <f>+E177/C177</f>
        <v>5.1740000000000001E-2</v>
      </c>
      <c r="E177" s="8">
        <v>51.74</v>
      </c>
      <c r="F177" s="8"/>
      <c r="G177" s="27"/>
      <c r="H177" s="27"/>
      <c r="I177" s="6">
        <f>+I176+C177</f>
        <v>1000</v>
      </c>
      <c r="J177" s="27">
        <f>+K177/I177</f>
        <v>5.1740000000000001E-2</v>
      </c>
      <c r="K177" s="8">
        <f>+K176+E177</f>
        <v>51.74</v>
      </c>
    </row>
    <row r="178" spans="1:11" x14ac:dyDescent="0.25">
      <c r="A178" s="307"/>
      <c r="B178" s="309" t="s">
        <v>590</v>
      </c>
      <c r="C178" s="222"/>
      <c r="D178" s="223"/>
      <c r="E178" s="222"/>
      <c r="F178" s="222">
        <v>2</v>
      </c>
      <c r="G178" s="223">
        <f>+J177</f>
        <v>5.1740000000000001E-2</v>
      </c>
      <c r="H178" s="223">
        <f>+G178*F178</f>
        <v>0.10348</v>
      </c>
      <c r="I178" s="222">
        <f>+I177-F178</f>
        <v>998</v>
      </c>
      <c r="J178" s="223">
        <f>+K178/I178</f>
        <v>5.1740000000000001E-2</v>
      </c>
      <c r="K178" s="223">
        <f>+K177-H178</f>
        <v>51.636520000000004</v>
      </c>
    </row>
    <row r="179" spans="1:11" x14ac:dyDescent="0.25">
      <c r="A179" s="307"/>
      <c r="B179" s="309" t="s">
        <v>593</v>
      </c>
      <c r="C179" s="222"/>
      <c r="D179" s="223"/>
      <c r="E179" s="222"/>
      <c r="F179" s="222">
        <v>2</v>
      </c>
      <c r="G179" s="223">
        <f>+J178</f>
        <v>5.1740000000000001E-2</v>
      </c>
      <c r="H179" s="223">
        <f>+G179*F179</f>
        <v>0.10348</v>
      </c>
      <c r="I179" s="222">
        <f>+I178-F179</f>
        <v>996</v>
      </c>
      <c r="J179" s="223">
        <f>+K179/I179</f>
        <v>5.1740000000000008E-2</v>
      </c>
      <c r="K179" s="223">
        <f>+K178-H179</f>
        <v>51.533040000000007</v>
      </c>
    </row>
    <row r="180" spans="1:11" x14ac:dyDescent="0.25">
      <c r="A180" s="5"/>
      <c r="B180" s="2"/>
      <c r="C180" s="2"/>
      <c r="D180" s="3"/>
      <c r="E180" s="2"/>
      <c r="F180" s="2"/>
      <c r="G180" s="3"/>
      <c r="H180" s="3"/>
      <c r="I180" s="2"/>
      <c r="J180" s="3"/>
      <c r="K180" s="3"/>
    </row>
    <row r="184" spans="1:11" ht="15.75" x14ac:dyDescent="0.25">
      <c r="A184" s="456" t="s">
        <v>10</v>
      </c>
      <c r="B184" s="456"/>
      <c r="C184" s="456"/>
      <c r="D184" s="456"/>
      <c r="E184" s="456"/>
      <c r="F184" s="456"/>
      <c r="G184" s="456"/>
      <c r="H184" s="456"/>
      <c r="I184" s="456"/>
      <c r="J184" s="456"/>
      <c r="K184" s="456"/>
    </row>
    <row r="185" spans="1:11" ht="15.75" x14ac:dyDescent="0.25">
      <c r="A185" s="456" t="s">
        <v>11</v>
      </c>
      <c r="B185" s="456"/>
      <c r="C185" s="456"/>
      <c r="D185" s="456"/>
      <c r="E185" s="456"/>
      <c r="F185" s="456"/>
      <c r="G185" s="456"/>
      <c r="H185" s="456"/>
      <c r="I185" s="456"/>
      <c r="J185" s="456"/>
      <c r="K185" s="456"/>
    </row>
    <row r="186" spans="1:11" x14ac:dyDescent="0.25">
      <c r="A186" s="2" t="s">
        <v>8</v>
      </c>
      <c r="B186" s="465" t="s">
        <v>88</v>
      </c>
      <c r="C186" s="466"/>
      <c r="D186" s="466"/>
      <c r="E186" s="467"/>
      <c r="F186" s="9" t="s">
        <v>48</v>
      </c>
      <c r="G186" s="468" t="s">
        <v>49</v>
      </c>
      <c r="H186" s="469"/>
      <c r="I186" s="469"/>
      <c r="J186" s="469"/>
      <c r="K186" s="470"/>
    </row>
    <row r="187" spans="1:11" x14ac:dyDescent="0.25">
      <c r="A187" s="4" t="s">
        <v>9</v>
      </c>
      <c r="B187" s="471" t="s">
        <v>66</v>
      </c>
      <c r="C187" s="471"/>
      <c r="D187" s="471"/>
      <c r="E187" s="471"/>
      <c r="F187" s="11" t="s">
        <v>50</v>
      </c>
      <c r="G187" s="471" t="s">
        <v>73</v>
      </c>
      <c r="H187" s="471"/>
      <c r="I187" s="471"/>
      <c r="J187" s="471"/>
      <c r="K187" s="471"/>
    </row>
    <row r="188" spans="1:11" x14ac:dyDescent="0.25">
      <c r="A188" s="464" t="s">
        <v>0</v>
      </c>
      <c r="B188" s="464" t="s">
        <v>1</v>
      </c>
      <c r="C188" s="464" t="s">
        <v>2</v>
      </c>
      <c r="D188" s="464"/>
      <c r="E188" s="464"/>
      <c r="F188" s="464" t="s">
        <v>3</v>
      </c>
      <c r="G188" s="464"/>
      <c r="H188" s="464"/>
      <c r="I188" s="464" t="s">
        <v>4</v>
      </c>
      <c r="J188" s="464"/>
      <c r="K188" s="464"/>
    </row>
    <row r="189" spans="1:11" x14ac:dyDescent="0.25">
      <c r="A189" s="464"/>
      <c r="B189" s="464"/>
      <c r="C189" s="2" t="s">
        <v>5</v>
      </c>
      <c r="D189" s="3" t="s">
        <v>6</v>
      </c>
      <c r="E189" s="2" t="s">
        <v>7</v>
      </c>
      <c r="F189" s="2" t="s">
        <v>5</v>
      </c>
      <c r="G189" s="3" t="s">
        <v>6</v>
      </c>
      <c r="H189" s="3" t="s">
        <v>7</v>
      </c>
      <c r="I189" s="2" t="s">
        <v>5</v>
      </c>
      <c r="J189" s="3" t="s">
        <v>6</v>
      </c>
      <c r="K189" s="2" t="s">
        <v>7</v>
      </c>
    </row>
    <row r="190" spans="1:11" x14ac:dyDescent="0.25">
      <c r="A190" s="1"/>
      <c r="B190" s="1" t="s">
        <v>42</v>
      </c>
      <c r="C190" s="1"/>
      <c r="D190" s="34"/>
      <c r="E190" s="1"/>
      <c r="F190" s="1"/>
      <c r="G190" s="34"/>
      <c r="H190" s="34"/>
      <c r="I190" s="1">
        <v>0</v>
      </c>
      <c r="J190" s="34">
        <v>0</v>
      </c>
      <c r="K190" s="1">
        <v>0</v>
      </c>
    </row>
    <row r="191" spans="1:11" ht="15.75" x14ac:dyDescent="0.25">
      <c r="A191" s="7">
        <v>42009</v>
      </c>
      <c r="B191" s="8" t="s">
        <v>43</v>
      </c>
      <c r="C191" s="6">
        <v>4000</v>
      </c>
      <c r="D191" s="27">
        <f>+E191/C191</f>
        <v>6.8000000000000005E-2</v>
      </c>
      <c r="E191" s="8">
        <v>272</v>
      </c>
      <c r="F191" s="8"/>
      <c r="G191" s="27"/>
      <c r="H191" s="27"/>
      <c r="I191" s="6">
        <f>+I190+C191</f>
        <v>4000</v>
      </c>
      <c r="J191" s="27">
        <f t="shared" ref="J191:J198" si="21">+K191/I191</f>
        <v>6.8000000000000005E-2</v>
      </c>
      <c r="K191" s="8">
        <f>+K190+E191</f>
        <v>272</v>
      </c>
    </row>
    <row r="192" spans="1:11" ht="15.75" x14ac:dyDescent="0.25">
      <c r="A192" s="106">
        <v>42284</v>
      </c>
      <c r="B192" s="107" t="s">
        <v>330</v>
      </c>
      <c r="C192" s="107"/>
      <c r="D192" s="107"/>
      <c r="E192" s="107"/>
      <c r="F192" s="107">
        <v>1</v>
      </c>
      <c r="G192" s="108">
        <f>+J191</f>
        <v>6.8000000000000005E-2</v>
      </c>
      <c r="H192" s="108">
        <f t="shared" ref="H192:H198" si="22">+G192*F192</f>
        <v>6.8000000000000005E-2</v>
      </c>
      <c r="I192" s="107">
        <f t="shared" ref="I192:I198" si="23">+I191-F192</f>
        <v>3999</v>
      </c>
      <c r="J192" s="108">
        <f t="shared" si="21"/>
        <v>6.8000000000000005E-2</v>
      </c>
      <c r="K192" s="108">
        <f t="shared" ref="K192:K198" si="24">+K191-H192</f>
        <v>271.93200000000002</v>
      </c>
    </row>
    <row r="193" spans="1:11" ht="15.75" x14ac:dyDescent="0.25">
      <c r="A193" s="67">
        <v>42290</v>
      </c>
      <c r="B193" s="107" t="s">
        <v>343</v>
      </c>
      <c r="C193" s="113"/>
      <c r="D193" s="69"/>
      <c r="E193" s="68"/>
      <c r="F193" s="107">
        <v>1</v>
      </c>
      <c r="G193" s="108">
        <f>+J192</f>
        <v>6.8000000000000005E-2</v>
      </c>
      <c r="H193" s="108">
        <f t="shared" si="22"/>
        <v>6.8000000000000005E-2</v>
      </c>
      <c r="I193" s="107">
        <f t="shared" si="23"/>
        <v>3998</v>
      </c>
      <c r="J193" s="108">
        <f t="shared" si="21"/>
        <v>6.8000000000000005E-2</v>
      </c>
      <c r="K193" s="108">
        <f t="shared" si="24"/>
        <v>271.86400000000003</v>
      </c>
    </row>
    <row r="194" spans="1:11" ht="30" x14ac:dyDescent="0.25">
      <c r="A194" s="307"/>
      <c r="B194" s="309" t="s">
        <v>516</v>
      </c>
      <c r="C194" s="222"/>
      <c r="D194" s="223"/>
      <c r="E194" s="222"/>
      <c r="F194" s="222">
        <v>1</v>
      </c>
      <c r="G194" s="223">
        <f t="shared" ref="G194:G202" si="25">+G193</f>
        <v>6.8000000000000005E-2</v>
      </c>
      <c r="H194" s="223">
        <f t="shared" si="22"/>
        <v>6.8000000000000005E-2</v>
      </c>
      <c r="I194" s="311">
        <f t="shared" si="23"/>
        <v>3997</v>
      </c>
      <c r="J194" s="310">
        <f t="shared" si="21"/>
        <v>6.8000000000000019E-2</v>
      </c>
      <c r="K194" s="310">
        <f t="shared" si="24"/>
        <v>271.79600000000005</v>
      </c>
    </row>
    <row r="195" spans="1:11" ht="30" x14ac:dyDescent="0.25">
      <c r="A195" s="307"/>
      <c r="B195" s="309" t="s">
        <v>533</v>
      </c>
      <c r="C195" s="222"/>
      <c r="D195" s="223"/>
      <c r="E195" s="222"/>
      <c r="F195" s="222">
        <v>1</v>
      </c>
      <c r="G195" s="223">
        <f t="shared" si="25"/>
        <v>6.8000000000000005E-2</v>
      </c>
      <c r="H195" s="223">
        <f t="shared" si="22"/>
        <v>6.8000000000000005E-2</v>
      </c>
      <c r="I195" s="311">
        <f t="shared" si="23"/>
        <v>3996</v>
      </c>
      <c r="J195" s="310">
        <f t="shared" si="21"/>
        <v>6.8000000000000019E-2</v>
      </c>
      <c r="K195" s="310">
        <f t="shared" si="24"/>
        <v>271.72800000000007</v>
      </c>
    </row>
    <row r="196" spans="1:11" ht="30" x14ac:dyDescent="0.25">
      <c r="A196" s="307"/>
      <c r="B196" s="309" t="s">
        <v>533</v>
      </c>
      <c r="C196" s="222"/>
      <c r="D196" s="223"/>
      <c r="E196" s="222"/>
      <c r="F196" s="222">
        <v>1</v>
      </c>
      <c r="G196" s="223">
        <f t="shared" si="25"/>
        <v>6.8000000000000005E-2</v>
      </c>
      <c r="H196" s="223">
        <f t="shared" si="22"/>
        <v>6.8000000000000005E-2</v>
      </c>
      <c r="I196" s="311">
        <f t="shared" si="23"/>
        <v>3995</v>
      </c>
      <c r="J196" s="310">
        <f t="shared" si="21"/>
        <v>6.8000000000000019E-2</v>
      </c>
      <c r="K196" s="310">
        <f t="shared" si="24"/>
        <v>271.66000000000008</v>
      </c>
    </row>
    <row r="197" spans="1:11" ht="30" x14ac:dyDescent="0.25">
      <c r="A197" s="222"/>
      <c r="B197" s="335" t="s">
        <v>553</v>
      </c>
      <c r="C197" s="222"/>
      <c r="D197" s="223"/>
      <c r="E197" s="222"/>
      <c r="F197" s="222">
        <v>1</v>
      </c>
      <c r="G197" s="223">
        <f t="shared" si="25"/>
        <v>6.8000000000000005E-2</v>
      </c>
      <c r="H197" s="223">
        <f t="shared" si="22"/>
        <v>6.8000000000000005E-2</v>
      </c>
      <c r="I197" s="311">
        <f t="shared" si="23"/>
        <v>3994</v>
      </c>
      <c r="J197" s="310">
        <f t="shared" si="21"/>
        <v>6.8000000000000019E-2</v>
      </c>
      <c r="K197" s="310">
        <f t="shared" si="24"/>
        <v>271.5920000000001</v>
      </c>
    </row>
    <row r="198" spans="1:11" ht="30" x14ac:dyDescent="0.25">
      <c r="A198" s="222"/>
      <c r="B198" s="335" t="s">
        <v>563</v>
      </c>
      <c r="C198" s="222"/>
      <c r="D198" s="223"/>
      <c r="E198" s="222"/>
      <c r="F198" s="222">
        <v>1</v>
      </c>
      <c r="G198" s="223">
        <f t="shared" si="25"/>
        <v>6.8000000000000005E-2</v>
      </c>
      <c r="H198" s="223">
        <f t="shared" si="22"/>
        <v>6.8000000000000005E-2</v>
      </c>
      <c r="I198" s="311">
        <f t="shared" si="23"/>
        <v>3993</v>
      </c>
      <c r="J198" s="310">
        <f t="shared" si="21"/>
        <v>6.8000000000000033E-2</v>
      </c>
      <c r="K198" s="310">
        <f t="shared" si="24"/>
        <v>271.52400000000011</v>
      </c>
    </row>
    <row r="199" spans="1:11" ht="15.75" x14ac:dyDescent="0.25">
      <c r="A199" s="222"/>
      <c r="B199" s="309" t="s">
        <v>590</v>
      </c>
      <c r="C199" s="222"/>
      <c r="D199" s="223"/>
      <c r="E199" s="222"/>
      <c r="F199" s="222">
        <v>1</v>
      </c>
      <c r="G199" s="223">
        <f t="shared" si="25"/>
        <v>6.8000000000000005E-2</v>
      </c>
      <c r="H199" s="223">
        <f t="shared" ref="H199" si="26">+G199*F199</f>
        <v>6.8000000000000005E-2</v>
      </c>
      <c r="I199" s="311">
        <f t="shared" ref="I199" si="27">+I198-F199</f>
        <v>3992</v>
      </c>
      <c r="J199" s="310">
        <f t="shared" ref="J199" si="28">+K199/I199</f>
        <v>6.8000000000000033E-2</v>
      </c>
      <c r="K199" s="310">
        <f t="shared" ref="K199" si="29">+K198-H199</f>
        <v>271.45600000000013</v>
      </c>
    </row>
    <row r="200" spans="1:11" ht="15.75" x14ac:dyDescent="0.25">
      <c r="A200" s="222"/>
      <c r="B200" s="309" t="s">
        <v>593</v>
      </c>
      <c r="C200" s="222"/>
      <c r="D200" s="223"/>
      <c r="E200" s="222"/>
      <c r="F200" s="222">
        <v>1</v>
      </c>
      <c r="G200" s="223">
        <f t="shared" si="25"/>
        <v>6.8000000000000005E-2</v>
      </c>
      <c r="H200" s="223">
        <f t="shared" ref="H200" si="30">+G200*F200</f>
        <v>6.8000000000000005E-2</v>
      </c>
      <c r="I200" s="311">
        <f t="shared" ref="I200" si="31">+I199-F200</f>
        <v>3991</v>
      </c>
      <c r="J200" s="310">
        <f t="shared" ref="J200" si="32">+K200/I200</f>
        <v>6.8000000000000033E-2</v>
      </c>
      <c r="K200" s="310">
        <f t="shared" ref="K200" si="33">+K199-H200</f>
        <v>271.38800000000015</v>
      </c>
    </row>
    <row r="201" spans="1:11" ht="30" x14ac:dyDescent="0.25">
      <c r="A201" s="222"/>
      <c r="B201" s="335" t="s">
        <v>603</v>
      </c>
      <c r="C201" s="222"/>
      <c r="D201" s="223"/>
      <c r="E201" s="222"/>
      <c r="F201" s="222">
        <v>1</v>
      </c>
      <c r="G201" s="223">
        <f t="shared" si="25"/>
        <v>6.8000000000000005E-2</v>
      </c>
      <c r="H201" s="223">
        <f t="shared" ref="H201" si="34">+G201*F201</f>
        <v>6.8000000000000005E-2</v>
      </c>
      <c r="I201" s="311">
        <f t="shared" ref="I201" si="35">+I200-F201</f>
        <v>3990</v>
      </c>
      <c r="J201" s="310">
        <f t="shared" ref="J201" si="36">+K201/I201</f>
        <v>6.8000000000000047E-2</v>
      </c>
      <c r="K201" s="310">
        <f t="shared" ref="K201" si="37">+K200-H201</f>
        <v>271.32000000000016</v>
      </c>
    </row>
    <row r="202" spans="1:11" ht="15.75" x14ac:dyDescent="0.25">
      <c r="A202" s="222"/>
      <c r="B202" s="335" t="s">
        <v>610</v>
      </c>
      <c r="C202" s="222"/>
      <c r="D202" s="223"/>
      <c r="E202" s="222"/>
      <c r="F202" s="222">
        <v>1</v>
      </c>
      <c r="G202" s="223">
        <f t="shared" si="25"/>
        <v>6.8000000000000005E-2</v>
      </c>
      <c r="H202" s="223">
        <f t="shared" ref="H202" si="38">+G202*F202</f>
        <v>6.8000000000000005E-2</v>
      </c>
      <c r="I202" s="311">
        <f t="shared" ref="I202" si="39">+I201-F202</f>
        <v>3989</v>
      </c>
      <c r="J202" s="310">
        <f t="shared" ref="J202" si="40">+K202/I202</f>
        <v>6.8000000000000047E-2</v>
      </c>
      <c r="K202" s="310">
        <f t="shared" ref="K202" si="41">+K201-H202</f>
        <v>271.25200000000018</v>
      </c>
    </row>
    <row r="203" spans="1:11" x14ac:dyDescent="0.25">
      <c r="B203" s="343"/>
    </row>
    <row r="204" spans="1:11" x14ac:dyDescent="0.25">
      <c r="B204" s="343"/>
    </row>
    <row r="205" spans="1:11" x14ac:dyDescent="0.25">
      <c r="B205" s="343"/>
    </row>
    <row r="206" spans="1:11" x14ac:dyDescent="0.25">
      <c r="B206" s="344"/>
    </row>
    <row r="207" spans="1:11" ht="15.75" x14ac:dyDescent="0.25">
      <c r="A207" s="456" t="s">
        <v>10</v>
      </c>
      <c r="B207" s="456"/>
      <c r="C207" s="456"/>
      <c r="D207" s="456"/>
      <c r="E207" s="456"/>
      <c r="F207" s="456"/>
      <c r="G207" s="456"/>
      <c r="H207" s="456"/>
      <c r="I207" s="456"/>
      <c r="J207" s="456"/>
      <c r="K207" s="456"/>
    </row>
    <row r="208" spans="1:11" ht="15.75" x14ac:dyDescent="0.25">
      <c r="A208" s="456" t="s">
        <v>11</v>
      </c>
      <c r="B208" s="456"/>
      <c r="C208" s="456"/>
      <c r="D208" s="456"/>
      <c r="E208" s="456"/>
      <c r="F208" s="456"/>
      <c r="G208" s="456"/>
      <c r="H208" s="456"/>
      <c r="I208" s="456"/>
      <c r="J208" s="456"/>
      <c r="K208" s="456"/>
    </row>
    <row r="209" spans="1:11" x14ac:dyDescent="0.25">
      <c r="A209" s="2" t="s">
        <v>8</v>
      </c>
      <c r="B209" s="465" t="s">
        <v>89</v>
      </c>
      <c r="C209" s="466"/>
      <c r="D209" s="466"/>
      <c r="E209" s="467"/>
      <c r="F209" s="9" t="s">
        <v>48</v>
      </c>
      <c r="G209" s="468" t="s">
        <v>49</v>
      </c>
      <c r="H209" s="469"/>
      <c r="I209" s="469"/>
      <c r="J209" s="469"/>
      <c r="K209" s="470"/>
    </row>
    <row r="210" spans="1:11" x14ac:dyDescent="0.25">
      <c r="A210" s="4" t="s">
        <v>9</v>
      </c>
      <c r="B210" s="471" t="s">
        <v>66</v>
      </c>
      <c r="C210" s="471"/>
      <c r="D210" s="471"/>
      <c r="E210" s="471"/>
      <c r="F210" s="11" t="s">
        <v>50</v>
      </c>
      <c r="G210" s="471" t="s">
        <v>73</v>
      </c>
      <c r="H210" s="471"/>
      <c r="I210" s="471"/>
      <c r="J210" s="471"/>
      <c r="K210" s="471"/>
    </row>
    <row r="211" spans="1:11" x14ac:dyDescent="0.25">
      <c r="A211" s="464" t="s">
        <v>0</v>
      </c>
      <c r="B211" s="464" t="s">
        <v>1</v>
      </c>
      <c r="C211" s="464" t="s">
        <v>2</v>
      </c>
      <c r="D211" s="464"/>
      <c r="E211" s="464"/>
      <c r="F211" s="464" t="s">
        <v>3</v>
      </c>
      <c r="G211" s="464"/>
      <c r="H211" s="464"/>
      <c r="I211" s="464" t="s">
        <v>4</v>
      </c>
      <c r="J211" s="464"/>
      <c r="K211" s="464"/>
    </row>
    <row r="212" spans="1:11" x14ac:dyDescent="0.25">
      <c r="A212" s="464"/>
      <c r="B212" s="464"/>
      <c r="C212" s="2" t="s">
        <v>5</v>
      </c>
      <c r="D212" s="3" t="s">
        <v>6</v>
      </c>
      <c r="E212" s="2" t="s">
        <v>7</v>
      </c>
      <c r="F212" s="2" t="s">
        <v>5</v>
      </c>
      <c r="G212" s="3" t="s">
        <v>6</v>
      </c>
      <c r="H212" s="3" t="s">
        <v>7</v>
      </c>
      <c r="I212" s="2" t="s">
        <v>5</v>
      </c>
      <c r="J212" s="3" t="s">
        <v>6</v>
      </c>
      <c r="K212" s="2" t="s">
        <v>7</v>
      </c>
    </row>
    <row r="213" spans="1:11" x14ac:dyDescent="0.25">
      <c r="A213" s="1"/>
      <c r="B213" s="1" t="s">
        <v>42</v>
      </c>
      <c r="C213" s="1"/>
      <c r="D213" s="34"/>
      <c r="E213" s="1"/>
      <c r="F213" s="1"/>
      <c r="G213" s="34"/>
      <c r="H213" s="34"/>
      <c r="I213" s="1">
        <v>0</v>
      </c>
      <c r="J213" s="34">
        <v>0</v>
      </c>
      <c r="K213" s="1">
        <v>0</v>
      </c>
    </row>
    <row r="214" spans="1:11" ht="15.75" x14ac:dyDescent="0.25">
      <c r="A214" s="7">
        <v>42009</v>
      </c>
      <c r="B214" s="8" t="s">
        <v>43</v>
      </c>
      <c r="C214" s="6">
        <v>4000</v>
      </c>
      <c r="D214" s="27">
        <f>+E214/C214</f>
        <v>6.8000000000000005E-2</v>
      </c>
      <c r="E214" s="8">
        <v>272</v>
      </c>
      <c r="F214" s="8"/>
      <c r="G214" s="27"/>
      <c r="H214" s="27"/>
      <c r="I214" s="6">
        <f>+I213+C214</f>
        <v>4000</v>
      </c>
      <c r="J214" s="27">
        <f t="shared" ref="J214:J220" si="42">+K214/I214</f>
        <v>6.8000000000000005E-2</v>
      </c>
      <c r="K214" s="8">
        <f>+K213+E214</f>
        <v>272</v>
      </c>
    </row>
    <row r="215" spans="1:11" ht="15.75" x14ac:dyDescent="0.25">
      <c r="A215" s="106">
        <v>42284</v>
      </c>
      <c r="B215" s="107" t="s">
        <v>330</v>
      </c>
      <c r="C215" s="107"/>
      <c r="D215" s="107"/>
      <c r="E215" s="107"/>
      <c r="F215" s="107">
        <v>1</v>
      </c>
      <c r="G215" s="108">
        <f>+J214</f>
        <v>6.8000000000000005E-2</v>
      </c>
      <c r="H215" s="108">
        <f>+G215*F215</f>
        <v>6.8000000000000005E-2</v>
      </c>
      <c r="I215" s="107">
        <f t="shared" ref="I215:I220" si="43">+I214-F215</f>
        <v>3999</v>
      </c>
      <c r="J215" s="108">
        <f t="shared" si="42"/>
        <v>6.8000000000000005E-2</v>
      </c>
      <c r="K215" s="108">
        <f t="shared" ref="K215:K220" si="44">+K214-H215</f>
        <v>271.93200000000002</v>
      </c>
    </row>
    <row r="216" spans="1:11" ht="15.75" x14ac:dyDescent="0.25">
      <c r="A216" s="67">
        <v>42290</v>
      </c>
      <c r="B216" s="107" t="s">
        <v>343</v>
      </c>
      <c r="C216" s="113"/>
      <c r="D216" s="69"/>
      <c r="E216" s="68"/>
      <c r="F216" s="107">
        <v>1</v>
      </c>
      <c r="G216" s="108">
        <f>+J215</f>
        <v>6.8000000000000005E-2</v>
      </c>
      <c r="H216" s="108">
        <f>+G216*F216</f>
        <v>6.8000000000000005E-2</v>
      </c>
      <c r="I216" s="107">
        <f t="shared" si="43"/>
        <v>3998</v>
      </c>
      <c r="J216" s="108">
        <f t="shared" si="42"/>
        <v>6.8000000000000005E-2</v>
      </c>
      <c r="K216" s="108">
        <f t="shared" si="44"/>
        <v>271.86400000000003</v>
      </c>
    </row>
    <row r="217" spans="1:11" ht="30" x14ac:dyDescent="0.25">
      <c r="A217" s="307"/>
      <c r="B217" s="309" t="s">
        <v>516</v>
      </c>
      <c r="C217" s="222"/>
      <c r="D217" s="223"/>
      <c r="E217" s="222"/>
      <c r="F217" s="222">
        <v>1</v>
      </c>
      <c r="G217" s="223">
        <f>+G216</f>
        <v>6.8000000000000005E-2</v>
      </c>
      <c r="H217" s="223">
        <f>+H216</f>
        <v>6.8000000000000005E-2</v>
      </c>
      <c r="I217" s="222">
        <f t="shared" si="43"/>
        <v>3997</v>
      </c>
      <c r="J217" s="223">
        <f t="shared" si="42"/>
        <v>6.8000000000000019E-2</v>
      </c>
      <c r="K217" s="223">
        <f t="shared" si="44"/>
        <v>271.79600000000005</v>
      </c>
    </row>
    <row r="218" spans="1:11" ht="30" x14ac:dyDescent="0.25">
      <c r="A218" s="307"/>
      <c r="B218" s="309" t="s">
        <v>533</v>
      </c>
      <c r="C218" s="222"/>
      <c r="D218" s="223"/>
      <c r="E218" s="222"/>
      <c r="F218" s="222">
        <v>1</v>
      </c>
      <c r="G218" s="223">
        <f>+G217</f>
        <v>6.8000000000000005E-2</v>
      </c>
      <c r="H218" s="223">
        <f>+H217</f>
        <v>6.8000000000000005E-2</v>
      </c>
      <c r="I218" s="222">
        <f t="shared" si="43"/>
        <v>3996</v>
      </c>
      <c r="J218" s="223">
        <f t="shared" si="42"/>
        <v>6.8000000000000019E-2</v>
      </c>
      <c r="K218" s="223">
        <f t="shared" si="44"/>
        <v>271.72800000000007</v>
      </c>
    </row>
    <row r="219" spans="1:11" ht="30" x14ac:dyDescent="0.25">
      <c r="A219" s="307"/>
      <c r="B219" s="309" t="s">
        <v>553</v>
      </c>
      <c r="C219" s="222"/>
      <c r="D219" s="223"/>
      <c r="E219" s="222"/>
      <c r="F219" s="222">
        <v>1</v>
      </c>
      <c r="G219" s="223">
        <f>+G218</f>
        <v>6.8000000000000005E-2</v>
      </c>
      <c r="H219" s="223">
        <f>+G219*F219</f>
        <v>6.8000000000000005E-2</v>
      </c>
      <c r="I219" s="311">
        <f t="shared" si="43"/>
        <v>3995</v>
      </c>
      <c r="J219" s="310">
        <f t="shared" si="42"/>
        <v>6.8000000000000019E-2</v>
      </c>
      <c r="K219" s="310">
        <f t="shared" si="44"/>
        <v>271.66000000000008</v>
      </c>
    </row>
    <row r="220" spans="1:11" ht="30" x14ac:dyDescent="0.25">
      <c r="A220" s="222"/>
      <c r="B220" s="335" t="s">
        <v>563</v>
      </c>
      <c r="C220" s="222"/>
      <c r="D220" s="223"/>
      <c r="E220" s="222"/>
      <c r="F220" s="222">
        <v>1</v>
      </c>
      <c r="G220" s="223">
        <f>+G219</f>
        <v>6.8000000000000005E-2</v>
      </c>
      <c r="H220" s="223">
        <f>+G220*F220</f>
        <v>6.8000000000000005E-2</v>
      </c>
      <c r="I220" s="311">
        <f t="shared" si="43"/>
        <v>3994</v>
      </c>
      <c r="J220" s="310">
        <f t="shared" si="42"/>
        <v>6.8000000000000019E-2</v>
      </c>
      <c r="K220" s="310">
        <f t="shared" si="44"/>
        <v>271.5920000000001</v>
      </c>
    </row>
    <row r="221" spans="1:11" ht="15.75" x14ac:dyDescent="0.25">
      <c r="A221" s="222"/>
      <c r="B221" s="335" t="s">
        <v>590</v>
      </c>
      <c r="C221" s="222"/>
      <c r="D221" s="223"/>
      <c r="E221" s="222"/>
      <c r="F221" s="222">
        <v>1</v>
      </c>
      <c r="G221" s="223">
        <f>+G220</f>
        <v>6.8000000000000005E-2</v>
      </c>
      <c r="H221" s="223">
        <f>+G221*F221</f>
        <v>6.8000000000000005E-2</v>
      </c>
      <c r="I221" s="311">
        <f t="shared" ref="I221" si="45">+I220-F221</f>
        <v>3993</v>
      </c>
      <c r="J221" s="310">
        <f t="shared" ref="J221" si="46">+K221/I221</f>
        <v>6.8000000000000033E-2</v>
      </c>
      <c r="K221" s="310">
        <f t="shared" ref="K221" si="47">+K220-H221</f>
        <v>271.52400000000011</v>
      </c>
    </row>
    <row r="222" spans="1:11" ht="15.75" x14ac:dyDescent="0.25">
      <c r="A222" s="222"/>
      <c r="B222" s="309" t="s">
        <v>593</v>
      </c>
      <c r="C222" s="222"/>
      <c r="D222" s="223"/>
      <c r="E222" s="222"/>
      <c r="F222" s="222">
        <v>1</v>
      </c>
      <c r="G222" s="223">
        <f>+G221</f>
        <v>6.8000000000000005E-2</v>
      </c>
      <c r="H222" s="223">
        <f>+G222*F222</f>
        <v>6.8000000000000005E-2</v>
      </c>
      <c r="I222" s="311">
        <f t="shared" ref="I222" si="48">+I221-F222</f>
        <v>3992</v>
      </c>
      <c r="J222" s="310">
        <f t="shared" ref="J222" si="49">+K222/I222</f>
        <v>6.8000000000000033E-2</v>
      </c>
      <c r="K222" s="310">
        <f t="shared" ref="K222" si="50">+K221-H222</f>
        <v>271.45600000000013</v>
      </c>
    </row>
    <row r="223" spans="1:11" ht="30" x14ac:dyDescent="0.25">
      <c r="A223" s="222"/>
      <c r="B223" s="335" t="s">
        <v>603</v>
      </c>
      <c r="C223" s="222"/>
      <c r="D223" s="223"/>
      <c r="E223" s="222"/>
      <c r="F223" s="222">
        <v>1</v>
      </c>
      <c r="G223" s="223">
        <f>+G222</f>
        <v>6.8000000000000005E-2</v>
      </c>
      <c r="H223" s="223">
        <f>+G223*F223</f>
        <v>6.8000000000000005E-2</v>
      </c>
      <c r="I223" s="311">
        <f t="shared" ref="I223" si="51">+I222-F223</f>
        <v>3991</v>
      </c>
      <c r="J223" s="310">
        <f t="shared" ref="J223" si="52">+K223/I223</f>
        <v>6.8000000000000033E-2</v>
      </c>
      <c r="K223" s="310">
        <f t="shared" ref="K223" si="53">+K222-H223</f>
        <v>271.38800000000015</v>
      </c>
    </row>
    <row r="224" spans="1:11" ht="15.75" x14ac:dyDescent="0.25">
      <c r="A224" s="222"/>
      <c r="B224" s="335" t="s">
        <v>610</v>
      </c>
      <c r="C224" s="222"/>
      <c r="D224" s="223"/>
      <c r="E224" s="222"/>
      <c r="F224" s="222">
        <v>1</v>
      </c>
      <c r="G224" s="223">
        <f t="shared" ref="G224" si="54">+G223</f>
        <v>6.8000000000000005E-2</v>
      </c>
      <c r="H224" s="223">
        <f t="shared" ref="H224" si="55">+G224*F224</f>
        <v>6.8000000000000005E-2</v>
      </c>
      <c r="I224" s="311">
        <f t="shared" ref="I224" si="56">+I223-F224</f>
        <v>3990</v>
      </c>
      <c r="J224" s="310">
        <f t="shared" ref="J224" si="57">+K224/I224</f>
        <v>6.8000000000000047E-2</v>
      </c>
      <c r="K224" s="310">
        <f t="shared" ref="K224" si="58">+K223-H224</f>
        <v>271.32000000000016</v>
      </c>
    </row>
    <row r="225" spans="1:11" ht="15.75" x14ac:dyDescent="0.25">
      <c r="A225" s="4"/>
      <c r="B225" s="343"/>
      <c r="C225" s="4"/>
      <c r="D225" s="355"/>
      <c r="E225" s="4"/>
      <c r="F225" s="4"/>
      <c r="G225" s="3"/>
      <c r="H225" s="3"/>
      <c r="I225" s="14"/>
      <c r="J225" s="21"/>
      <c r="K225" s="21"/>
    </row>
    <row r="226" spans="1:11" x14ac:dyDescent="0.25">
      <c r="A226" s="4"/>
      <c r="B226" s="343"/>
    </row>
    <row r="227" spans="1:11" x14ac:dyDescent="0.25">
      <c r="A227" s="4"/>
      <c r="B227" s="343"/>
    </row>
    <row r="229" spans="1:11" ht="15.75" x14ac:dyDescent="0.25">
      <c r="A229" s="456" t="s">
        <v>10</v>
      </c>
      <c r="B229" s="456"/>
      <c r="C229" s="456"/>
      <c r="D229" s="456"/>
      <c r="E229" s="456"/>
      <c r="F229" s="456"/>
      <c r="G229" s="456"/>
      <c r="H229" s="456"/>
      <c r="I229" s="456"/>
      <c r="J229" s="456"/>
      <c r="K229" s="456"/>
    </row>
    <row r="230" spans="1:11" ht="15.75" x14ac:dyDescent="0.25">
      <c r="A230" s="456" t="s">
        <v>11</v>
      </c>
      <c r="B230" s="456"/>
      <c r="C230" s="456"/>
      <c r="D230" s="456"/>
      <c r="E230" s="456"/>
      <c r="F230" s="456"/>
      <c r="G230" s="456"/>
      <c r="H230" s="456"/>
      <c r="I230" s="456"/>
      <c r="J230" s="456"/>
      <c r="K230" s="456"/>
    </row>
    <row r="231" spans="1:11" x14ac:dyDescent="0.25">
      <c r="A231" s="2" t="s">
        <v>8</v>
      </c>
      <c r="B231" s="465" t="s">
        <v>90</v>
      </c>
      <c r="C231" s="466"/>
      <c r="D231" s="466"/>
      <c r="E231" s="467"/>
      <c r="F231" s="9" t="s">
        <v>48</v>
      </c>
      <c r="G231" s="468" t="s">
        <v>49</v>
      </c>
      <c r="H231" s="469"/>
      <c r="I231" s="469"/>
      <c r="J231" s="469"/>
      <c r="K231" s="470"/>
    </row>
    <row r="232" spans="1:11" x14ac:dyDescent="0.25">
      <c r="A232" s="4" t="s">
        <v>9</v>
      </c>
      <c r="B232" s="471" t="s">
        <v>66</v>
      </c>
      <c r="C232" s="471"/>
      <c r="D232" s="471"/>
      <c r="E232" s="471"/>
      <c r="F232" s="11" t="s">
        <v>50</v>
      </c>
      <c r="G232" s="471" t="s">
        <v>166</v>
      </c>
      <c r="H232" s="471"/>
      <c r="I232" s="471"/>
      <c r="J232" s="471"/>
      <c r="K232" s="471"/>
    </row>
    <row r="233" spans="1:11" x14ac:dyDescent="0.25">
      <c r="A233" s="464" t="s">
        <v>0</v>
      </c>
      <c r="B233" s="464" t="s">
        <v>1</v>
      </c>
      <c r="C233" s="464" t="s">
        <v>2</v>
      </c>
      <c r="D233" s="464"/>
      <c r="E233" s="464"/>
      <c r="F233" s="464" t="s">
        <v>3</v>
      </c>
      <c r="G233" s="464"/>
      <c r="H233" s="464"/>
      <c r="I233" s="464" t="s">
        <v>4</v>
      </c>
      <c r="J233" s="464"/>
      <c r="K233" s="464"/>
    </row>
    <row r="234" spans="1:11" x14ac:dyDescent="0.25">
      <c r="A234" s="464"/>
      <c r="B234" s="464"/>
      <c r="C234" s="2" t="s">
        <v>5</v>
      </c>
      <c r="D234" s="3" t="s">
        <v>6</v>
      </c>
      <c r="E234" s="2" t="s">
        <v>7</v>
      </c>
      <c r="F234" s="2" t="s">
        <v>5</v>
      </c>
      <c r="G234" s="3" t="s">
        <v>6</v>
      </c>
      <c r="H234" s="3" t="s">
        <v>7</v>
      </c>
      <c r="I234" s="2" t="s">
        <v>5</v>
      </c>
      <c r="J234" s="3" t="s">
        <v>6</v>
      </c>
      <c r="K234" s="2" t="s">
        <v>7</v>
      </c>
    </row>
    <row r="235" spans="1:11" x14ac:dyDescent="0.25">
      <c r="A235" s="1"/>
      <c r="B235" s="1" t="s">
        <v>42</v>
      </c>
      <c r="C235" s="1"/>
      <c r="D235" s="34"/>
      <c r="E235" s="1"/>
      <c r="F235" s="1"/>
      <c r="G235" s="34"/>
      <c r="H235" s="34"/>
      <c r="I235" s="1">
        <v>0</v>
      </c>
      <c r="J235" s="34">
        <v>0</v>
      </c>
      <c r="K235" s="1">
        <v>0</v>
      </c>
    </row>
    <row r="236" spans="1:11" ht="15.75" x14ac:dyDescent="0.25">
      <c r="A236" s="7">
        <v>42009</v>
      </c>
      <c r="B236" s="8" t="s">
        <v>43</v>
      </c>
      <c r="C236" s="6">
        <v>600</v>
      </c>
      <c r="D236" s="27">
        <f>+E236/C236</f>
        <v>5.6666666666666664E-2</v>
      </c>
      <c r="E236" s="8">
        <v>34</v>
      </c>
      <c r="F236" s="8"/>
      <c r="G236" s="27"/>
      <c r="H236" s="27"/>
      <c r="I236" s="6">
        <f>+I235+C236</f>
        <v>600</v>
      </c>
      <c r="J236" s="27">
        <f>+K236/I236</f>
        <v>5.6666666666666664E-2</v>
      </c>
      <c r="K236" s="8">
        <f>+K235+E236</f>
        <v>34</v>
      </c>
    </row>
    <row r="237" spans="1:11" x14ac:dyDescent="0.25">
      <c r="A237" s="307"/>
      <c r="B237" s="309" t="s">
        <v>593</v>
      </c>
      <c r="C237" s="222"/>
      <c r="D237" s="223"/>
      <c r="E237" s="222"/>
      <c r="F237" s="222">
        <v>3</v>
      </c>
      <c r="G237" s="223">
        <f>+J236</f>
        <v>5.6666666666666664E-2</v>
      </c>
      <c r="H237" s="223">
        <f>+G237*F237</f>
        <v>0.16999999999999998</v>
      </c>
      <c r="I237" s="222">
        <f>+I236-F237</f>
        <v>597</v>
      </c>
      <c r="J237" s="223">
        <f>+K237/G237</f>
        <v>597</v>
      </c>
      <c r="K237" s="223">
        <f>+K236-H237</f>
        <v>33.83</v>
      </c>
    </row>
    <row r="238" spans="1:11" x14ac:dyDescent="0.25">
      <c r="A238" s="5"/>
      <c r="B238" s="2"/>
      <c r="C238" s="2"/>
      <c r="D238" s="3"/>
      <c r="E238" s="2"/>
      <c r="F238" s="2"/>
      <c r="G238" s="3"/>
      <c r="H238" s="3"/>
      <c r="I238" s="2"/>
      <c r="J238" s="3"/>
      <c r="K238" s="3"/>
    </row>
    <row r="239" spans="1:11" x14ac:dyDescent="0.25">
      <c r="A239" s="5"/>
      <c r="B239" s="2"/>
      <c r="C239" s="2"/>
      <c r="D239" s="3"/>
      <c r="E239" s="2"/>
      <c r="F239" s="2"/>
      <c r="G239" s="3"/>
      <c r="H239" s="3"/>
      <c r="I239" s="2"/>
      <c r="J239" s="3"/>
      <c r="K239" s="3"/>
    </row>
    <row r="243" spans="1:11" ht="15.75" x14ac:dyDescent="0.25">
      <c r="A243" s="456" t="s">
        <v>10</v>
      </c>
      <c r="B243" s="456"/>
      <c r="C243" s="456"/>
      <c r="D243" s="456"/>
      <c r="E243" s="456"/>
      <c r="F243" s="456"/>
      <c r="G243" s="456"/>
      <c r="H243" s="456"/>
      <c r="I243" s="456"/>
      <c r="J243" s="456"/>
      <c r="K243" s="456"/>
    </row>
    <row r="244" spans="1:11" ht="15.75" x14ac:dyDescent="0.25">
      <c r="A244" s="456" t="s">
        <v>11</v>
      </c>
      <c r="B244" s="456"/>
      <c r="C244" s="456"/>
      <c r="D244" s="456"/>
      <c r="E244" s="456"/>
      <c r="F244" s="456"/>
      <c r="G244" s="456"/>
      <c r="H244" s="456"/>
      <c r="I244" s="456"/>
      <c r="J244" s="456"/>
      <c r="K244" s="456"/>
    </row>
    <row r="245" spans="1:11" x14ac:dyDescent="0.25">
      <c r="A245" s="2" t="s">
        <v>8</v>
      </c>
      <c r="B245" s="465" t="s">
        <v>92</v>
      </c>
      <c r="C245" s="466"/>
      <c r="D245" s="466"/>
      <c r="E245" s="467"/>
      <c r="F245" s="9" t="s">
        <v>48</v>
      </c>
      <c r="G245" s="468" t="s">
        <v>49</v>
      </c>
      <c r="H245" s="469"/>
      <c r="I245" s="469"/>
      <c r="J245" s="469"/>
      <c r="K245" s="470"/>
    </row>
    <row r="246" spans="1:11" x14ac:dyDescent="0.25">
      <c r="A246" s="4" t="s">
        <v>9</v>
      </c>
      <c r="B246" s="471" t="s">
        <v>66</v>
      </c>
      <c r="C246" s="471"/>
      <c r="D246" s="471"/>
      <c r="E246" s="471"/>
      <c r="F246" s="11" t="s">
        <v>50</v>
      </c>
      <c r="G246" s="471" t="s">
        <v>166</v>
      </c>
      <c r="H246" s="471"/>
      <c r="I246" s="471"/>
      <c r="J246" s="471"/>
      <c r="K246" s="471"/>
    </row>
    <row r="247" spans="1:11" x14ac:dyDescent="0.25">
      <c r="A247" s="464" t="s">
        <v>0</v>
      </c>
      <c r="B247" s="464" t="s">
        <v>1</v>
      </c>
      <c r="C247" s="464" t="s">
        <v>2</v>
      </c>
      <c r="D247" s="464"/>
      <c r="E247" s="464"/>
      <c r="F247" s="464" t="s">
        <v>3</v>
      </c>
      <c r="G247" s="464"/>
      <c r="H247" s="464"/>
      <c r="I247" s="464" t="s">
        <v>4</v>
      </c>
      <c r="J247" s="464"/>
      <c r="K247" s="464"/>
    </row>
    <row r="248" spans="1:11" x14ac:dyDescent="0.25">
      <c r="A248" s="464"/>
      <c r="B248" s="464"/>
      <c r="C248" s="2" t="s">
        <v>5</v>
      </c>
      <c r="D248" s="3" t="s">
        <v>6</v>
      </c>
      <c r="E248" s="2" t="s">
        <v>7</v>
      </c>
      <c r="F248" s="2" t="s">
        <v>5</v>
      </c>
      <c r="G248" s="3" t="s">
        <v>6</v>
      </c>
      <c r="H248" s="3" t="s">
        <v>7</v>
      </c>
      <c r="I248" s="2" t="s">
        <v>5</v>
      </c>
      <c r="J248" s="3" t="s">
        <v>6</v>
      </c>
      <c r="K248" s="2" t="s">
        <v>7</v>
      </c>
    </row>
    <row r="249" spans="1:11" x14ac:dyDescent="0.25">
      <c r="A249" s="1"/>
      <c r="B249" s="1" t="s">
        <v>42</v>
      </c>
      <c r="C249" s="1"/>
      <c r="D249" s="34"/>
      <c r="E249" s="1"/>
      <c r="F249" s="1"/>
      <c r="G249" s="34"/>
      <c r="H249" s="34"/>
      <c r="I249" s="1">
        <v>0</v>
      </c>
      <c r="J249" s="34">
        <v>0</v>
      </c>
      <c r="K249" s="1">
        <v>0</v>
      </c>
    </row>
    <row r="250" spans="1:11" ht="15.75" x14ac:dyDescent="0.25">
      <c r="A250" s="7">
        <v>42009</v>
      </c>
      <c r="B250" s="8" t="s">
        <v>43</v>
      </c>
      <c r="C250" s="6">
        <v>600</v>
      </c>
      <c r="D250" s="27">
        <f>+E250/C250</f>
        <v>5.6666666666666664E-2</v>
      </c>
      <c r="E250" s="8">
        <v>34</v>
      </c>
      <c r="F250" s="8"/>
      <c r="G250" s="27"/>
      <c r="H250" s="27"/>
      <c r="I250" s="6">
        <f>+I249+C250</f>
        <v>600</v>
      </c>
      <c r="J250" s="27">
        <f>+K250/I250</f>
        <v>5.6666666666666664E-2</v>
      </c>
      <c r="K250" s="8">
        <f>+K249+E250</f>
        <v>34</v>
      </c>
    </row>
    <row r="251" spans="1:11" x14ac:dyDescent="0.25">
      <c r="A251" s="307"/>
      <c r="B251" s="309" t="s">
        <v>593</v>
      </c>
      <c r="C251" s="222"/>
      <c r="D251" s="223"/>
      <c r="E251" s="222"/>
      <c r="F251" s="222">
        <v>3</v>
      </c>
      <c r="G251" s="223">
        <f>+J250</f>
        <v>5.6666666666666664E-2</v>
      </c>
      <c r="H251" s="223">
        <f>+G251*F251</f>
        <v>0.16999999999999998</v>
      </c>
      <c r="I251" s="222">
        <f>+I250-F251</f>
        <v>597</v>
      </c>
      <c r="J251" s="223">
        <f>+K251/I251</f>
        <v>5.6666666666666664E-2</v>
      </c>
      <c r="K251" s="223">
        <f>+K250-H251</f>
        <v>33.83</v>
      </c>
    </row>
    <row r="252" spans="1:11" x14ac:dyDescent="0.25">
      <c r="A252" s="5"/>
      <c r="B252" s="2"/>
      <c r="C252" s="2"/>
      <c r="D252" s="3"/>
      <c r="E252" s="2"/>
      <c r="F252" s="2"/>
      <c r="G252" s="3"/>
      <c r="H252" s="3"/>
      <c r="I252" s="2"/>
      <c r="J252" s="3"/>
      <c r="K252" s="3"/>
    </row>
    <row r="253" spans="1:11" x14ac:dyDescent="0.25">
      <c r="A253" s="5"/>
      <c r="B253" s="2"/>
      <c r="C253" s="2"/>
      <c r="D253" s="3"/>
      <c r="E253" s="2"/>
      <c r="F253" s="2"/>
      <c r="G253" s="3"/>
      <c r="H253" s="3"/>
      <c r="I253" s="2"/>
      <c r="J253" s="3"/>
      <c r="K253" s="3"/>
    </row>
    <row r="257" spans="1:11" ht="15.75" x14ac:dyDescent="0.25">
      <c r="A257" s="456" t="s">
        <v>10</v>
      </c>
      <c r="B257" s="456"/>
      <c r="C257" s="456"/>
      <c r="D257" s="456"/>
      <c r="E257" s="456"/>
      <c r="F257" s="456"/>
      <c r="G257" s="456"/>
      <c r="H257" s="456"/>
      <c r="I257" s="456"/>
      <c r="J257" s="456"/>
      <c r="K257" s="456"/>
    </row>
    <row r="258" spans="1:11" ht="15.75" x14ac:dyDescent="0.25">
      <c r="A258" s="456" t="s">
        <v>11</v>
      </c>
      <c r="B258" s="456"/>
      <c r="C258" s="456"/>
      <c r="D258" s="456"/>
      <c r="E258" s="456"/>
      <c r="F258" s="456"/>
      <c r="G258" s="456"/>
      <c r="H258" s="456"/>
      <c r="I258" s="456"/>
      <c r="J258" s="456"/>
      <c r="K258" s="456"/>
    </row>
    <row r="259" spans="1:11" x14ac:dyDescent="0.25">
      <c r="A259" s="2" t="s">
        <v>8</v>
      </c>
      <c r="B259" s="465" t="s">
        <v>93</v>
      </c>
      <c r="C259" s="466"/>
      <c r="D259" s="466"/>
      <c r="E259" s="467"/>
      <c r="F259" s="9" t="s">
        <v>48</v>
      </c>
      <c r="G259" s="468" t="s">
        <v>49</v>
      </c>
      <c r="H259" s="469"/>
      <c r="I259" s="469"/>
      <c r="J259" s="469"/>
      <c r="K259" s="470"/>
    </row>
    <row r="260" spans="1:11" x14ac:dyDescent="0.25">
      <c r="A260" s="4" t="s">
        <v>9</v>
      </c>
      <c r="B260" s="471" t="s">
        <v>66</v>
      </c>
      <c r="C260" s="471"/>
      <c r="D260" s="471"/>
      <c r="E260" s="471"/>
      <c r="F260" s="11" t="s">
        <v>50</v>
      </c>
      <c r="G260" s="471" t="s">
        <v>73</v>
      </c>
      <c r="H260" s="471"/>
      <c r="I260" s="471"/>
      <c r="J260" s="471"/>
      <c r="K260" s="471"/>
    </row>
    <row r="261" spans="1:11" x14ac:dyDescent="0.25">
      <c r="A261" s="464" t="s">
        <v>0</v>
      </c>
      <c r="B261" s="464" t="s">
        <v>1</v>
      </c>
      <c r="C261" s="464" t="s">
        <v>2</v>
      </c>
      <c r="D261" s="464"/>
      <c r="E261" s="464"/>
      <c r="F261" s="464" t="s">
        <v>3</v>
      </c>
      <c r="G261" s="464"/>
      <c r="H261" s="464"/>
      <c r="I261" s="464" t="s">
        <v>4</v>
      </c>
      <c r="J261" s="464"/>
      <c r="K261" s="464"/>
    </row>
    <row r="262" spans="1:11" x14ac:dyDescent="0.25">
      <c r="A262" s="464"/>
      <c r="B262" s="464"/>
      <c r="C262" s="2" t="s">
        <v>5</v>
      </c>
      <c r="D262" s="3" t="s">
        <v>6</v>
      </c>
      <c r="E262" s="2" t="s">
        <v>7</v>
      </c>
      <c r="F262" s="2" t="s">
        <v>5</v>
      </c>
      <c r="G262" s="3" t="s">
        <v>6</v>
      </c>
      <c r="H262" s="3" t="s">
        <v>7</v>
      </c>
      <c r="I262" s="2" t="s">
        <v>5</v>
      </c>
      <c r="J262" s="3" t="s">
        <v>6</v>
      </c>
      <c r="K262" s="2" t="s">
        <v>7</v>
      </c>
    </row>
    <row r="263" spans="1:11" x14ac:dyDescent="0.25">
      <c r="A263" s="1"/>
      <c r="B263" s="1" t="s">
        <v>42</v>
      </c>
      <c r="C263" s="1"/>
      <c r="D263" s="34"/>
      <c r="E263" s="1"/>
      <c r="F263" s="1"/>
      <c r="G263" s="34"/>
      <c r="H263" s="34"/>
      <c r="I263" s="1">
        <v>0</v>
      </c>
      <c r="J263" s="34">
        <v>0</v>
      </c>
      <c r="K263" s="1">
        <v>0</v>
      </c>
    </row>
    <row r="264" spans="1:11" ht="15.75" x14ac:dyDescent="0.25">
      <c r="A264" s="5">
        <v>42009</v>
      </c>
      <c r="B264" s="2" t="s">
        <v>43</v>
      </c>
      <c r="C264" s="36">
        <v>3000</v>
      </c>
      <c r="D264" s="3">
        <f>+E264/C264</f>
        <v>4.2146666666666666E-2</v>
      </c>
      <c r="E264" s="2">
        <v>126.44</v>
      </c>
      <c r="F264" s="2"/>
      <c r="G264" s="3"/>
      <c r="H264" s="3"/>
      <c r="I264" s="36">
        <f>+I263+C264</f>
        <v>3000</v>
      </c>
      <c r="J264" s="3">
        <f>+K264/I264</f>
        <v>4.2146666666666666E-2</v>
      </c>
      <c r="K264" s="2">
        <f>+K263+E264</f>
        <v>126.44</v>
      </c>
    </row>
    <row r="265" spans="1:11" ht="15.75" x14ac:dyDescent="0.25">
      <c r="A265" s="106">
        <v>42284</v>
      </c>
      <c r="B265" s="107" t="s">
        <v>330</v>
      </c>
      <c r="C265" s="107"/>
      <c r="D265" s="107"/>
      <c r="E265" s="107"/>
      <c r="F265" s="107">
        <v>0.5</v>
      </c>
      <c r="G265" s="108">
        <f>+J264</f>
        <v>4.2146666666666666E-2</v>
      </c>
      <c r="H265" s="108">
        <f>+G265*F265</f>
        <v>2.1073333333333333E-2</v>
      </c>
      <c r="I265" s="107">
        <f>+I264-F265</f>
        <v>2999.5</v>
      </c>
      <c r="J265" s="108">
        <f>+K265/I265</f>
        <v>4.2146666666666666E-2</v>
      </c>
      <c r="K265" s="108">
        <f>+K264-H265</f>
        <v>126.41892666666666</v>
      </c>
    </row>
    <row r="266" spans="1:11" ht="15.75" x14ac:dyDescent="0.25">
      <c r="A266" s="106">
        <v>42289</v>
      </c>
      <c r="B266" s="107" t="s">
        <v>334</v>
      </c>
      <c r="C266" s="107"/>
      <c r="D266" s="107"/>
      <c r="E266" s="107"/>
      <c r="F266" s="107">
        <v>0.5</v>
      </c>
      <c r="G266" s="108">
        <f>+J265</f>
        <v>4.2146666666666666E-2</v>
      </c>
      <c r="H266" s="108">
        <f>+G266*F266</f>
        <v>2.1073333333333333E-2</v>
      </c>
      <c r="I266" s="107">
        <f>+I265-F266</f>
        <v>2999</v>
      </c>
      <c r="J266" s="108">
        <f>+K266/I266</f>
        <v>4.2146666666666666E-2</v>
      </c>
      <c r="K266" s="65">
        <f>+K265-H266</f>
        <v>126.39785333333333</v>
      </c>
    </row>
    <row r="267" spans="1:11" ht="15.75" x14ac:dyDescent="0.25">
      <c r="A267" s="122">
        <v>42290</v>
      </c>
      <c r="B267" s="107" t="s">
        <v>343</v>
      </c>
      <c r="C267" s="113"/>
      <c r="D267" s="69"/>
      <c r="E267" s="68"/>
      <c r="F267" s="107">
        <v>0.5</v>
      </c>
      <c r="G267" s="108">
        <f>+J266</f>
        <v>4.2146666666666666E-2</v>
      </c>
      <c r="H267" s="108">
        <f>+G267*F267</f>
        <v>2.1073333333333333E-2</v>
      </c>
      <c r="I267" s="107">
        <f>+I266-F267</f>
        <v>2998.5</v>
      </c>
      <c r="J267" s="108">
        <f>+K267/I267</f>
        <v>4.2146666666666666E-2</v>
      </c>
      <c r="K267" s="108">
        <f>+K266-H267</f>
        <v>126.37678</v>
      </c>
    </row>
    <row r="268" spans="1:11" ht="15.75" x14ac:dyDescent="0.25">
      <c r="A268" s="122">
        <v>42293</v>
      </c>
      <c r="B268" s="107" t="s">
        <v>354</v>
      </c>
      <c r="C268" s="68"/>
      <c r="D268" s="69"/>
      <c r="E268" s="68"/>
      <c r="F268" s="68">
        <v>0.5</v>
      </c>
      <c r="G268" s="69">
        <f>+J267</f>
        <v>4.2146666666666666E-2</v>
      </c>
      <c r="H268" s="69">
        <f>+G268*F268</f>
        <v>2.1073333333333333E-2</v>
      </c>
      <c r="I268" s="68">
        <f>+I267-F268</f>
        <v>2998</v>
      </c>
      <c r="J268" s="69">
        <f>+K268/I268</f>
        <v>4.2146666666666666E-2</v>
      </c>
      <c r="K268" s="69">
        <f>+K267-H268</f>
        <v>126.35570666666666</v>
      </c>
    </row>
    <row r="269" spans="1:11" ht="15.75" x14ac:dyDescent="0.25">
      <c r="A269" s="122">
        <v>42297</v>
      </c>
      <c r="B269" s="107" t="s">
        <v>363</v>
      </c>
      <c r="C269" s="68"/>
      <c r="D269" s="69"/>
      <c r="E269" s="68"/>
      <c r="F269" s="68">
        <v>0.5</v>
      </c>
      <c r="G269" s="69">
        <f t="shared" ref="G269" si="59">+J268</f>
        <v>4.2146666666666666E-2</v>
      </c>
      <c r="H269" s="69">
        <f t="shared" ref="H269" si="60">+G269*F269</f>
        <v>2.1073333333333333E-2</v>
      </c>
      <c r="I269" s="68">
        <f t="shared" ref="I269:I270" si="61">+I268-F269</f>
        <v>2997.5</v>
      </c>
      <c r="J269" s="69">
        <f t="shared" ref="J269:J270" si="62">+K269/I269</f>
        <v>4.2146666666666666E-2</v>
      </c>
      <c r="K269" s="69">
        <f t="shared" ref="K269:K270" si="63">+K268-H269</f>
        <v>126.33463333333333</v>
      </c>
    </row>
    <row r="270" spans="1:11" ht="15.75" x14ac:dyDescent="0.25">
      <c r="A270" s="122">
        <v>42300</v>
      </c>
      <c r="B270" s="107" t="s">
        <v>380</v>
      </c>
      <c r="C270" s="68"/>
      <c r="D270" s="69"/>
      <c r="E270" s="68"/>
      <c r="F270" s="68">
        <v>0.5</v>
      </c>
      <c r="G270" s="69">
        <f t="shared" ref="G270" si="64">+J269</f>
        <v>4.2146666666666666E-2</v>
      </c>
      <c r="H270" s="69">
        <f t="shared" ref="H270" si="65">+G270*F270</f>
        <v>2.1073333333333333E-2</v>
      </c>
      <c r="I270" s="68">
        <f t="shared" si="61"/>
        <v>2997</v>
      </c>
      <c r="J270" s="69">
        <f t="shared" si="62"/>
        <v>4.2146666666666666E-2</v>
      </c>
      <c r="K270" s="69">
        <f t="shared" si="63"/>
        <v>126.31356</v>
      </c>
    </row>
    <row r="271" spans="1:11" ht="15.75" x14ac:dyDescent="0.25">
      <c r="A271" s="122">
        <v>42304</v>
      </c>
      <c r="B271" s="107" t="s">
        <v>390</v>
      </c>
      <c r="C271" s="68"/>
      <c r="D271" s="69"/>
      <c r="E271" s="68"/>
      <c r="F271" s="68">
        <v>0.5</v>
      </c>
      <c r="G271" s="69">
        <f t="shared" ref="G271" si="66">+J270</f>
        <v>4.2146666666666666E-2</v>
      </c>
      <c r="H271" s="69">
        <f t="shared" ref="H271:H279" si="67">+G271*F271</f>
        <v>2.1073333333333333E-2</v>
      </c>
      <c r="I271" s="68">
        <f t="shared" ref="I271:I279" si="68">+I270-F271</f>
        <v>2996.5</v>
      </c>
      <c r="J271" s="69">
        <f t="shared" ref="J271:J272" si="69">+K271/I271</f>
        <v>4.2146666666666666E-2</v>
      </c>
      <c r="K271" s="69">
        <f t="shared" ref="K271:K279" si="70">+K270-H271</f>
        <v>126.29248666666666</v>
      </c>
    </row>
    <row r="272" spans="1:11" ht="30" x14ac:dyDescent="0.25">
      <c r="A272" s="222"/>
      <c r="B272" s="309" t="s">
        <v>516</v>
      </c>
      <c r="C272" s="222"/>
      <c r="D272" s="223"/>
      <c r="E272" s="222"/>
      <c r="F272" s="222">
        <v>0.5</v>
      </c>
      <c r="G272" s="223">
        <f>+G271</f>
        <v>4.2146666666666666E-2</v>
      </c>
      <c r="H272" s="223">
        <f t="shared" si="67"/>
        <v>2.1073333333333333E-2</v>
      </c>
      <c r="I272" s="222">
        <f t="shared" si="68"/>
        <v>2996</v>
      </c>
      <c r="J272" s="223">
        <f t="shared" si="69"/>
        <v>4.2146666666666666E-2</v>
      </c>
      <c r="K272" s="223">
        <f t="shared" si="70"/>
        <v>126.27141333333333</v>
      </c>
    </row>
    <row r="273" spans="1:11" ht="30" x14ac:dyDescent="0.25">
      <c r="A273" s="222"/>
      <c r="B273" s="309" t="s">
        <v>533</v>
      </c>
      <c r="C273" s="222"/>
      <c r="D273" s="223"/>
      <c r="E273" s="222"/>
      <c r="F273" s="222">
        <v>0.5</v>
      </c>
      <c r="G273" s="223">
        <f>+G272</f>
        <v>4.2146666666666666E-2</v>
      </c>
      <c r="H273" s="223">
        <f t="shared" si="67"/>
        <v>2.1073333333333333E-2</v>
      </c>
      <c r="I273" s="222">
        <f t="shared" si="68"/>
        <v>2995.5</v>
      </c>
      <c r="J273" s="223">
        <f t="shared" ref="J273:J280" si="71">+K273/I273</f>
        <v>4.2146666666666666E-2</v>
      </c>
      <c r="K273" s="223">
        <f t="shared" si="70"/>
        <v>126.25033999999999</v>
      </c>
    </row>
    <row r="274" spans="1:11" ht="31.5" customHeight="1" x14ac:dyDescent="0.25">
      <c r="A274" s="222"/>
      <c r="B274" s="309" t="s">
        <v>538</v>
      </c>
      <c r="C274" s="222"/>
      <c r="D274" s="223"/>
      <c r="E274" s="222"/>
      <c r="F274" s="222">
        <v>0.5</v>
      </c>
      <c r="G274" s="223">
        <f t="shared" ref="G274:G279" si="72">+J273</f>
        <v>4.2146666666666666E-2</v>
      </c>
      <c r="H274" s="223">
        <f t="shared" si="67"/>
        <v>2.1073333333333333E-2</v>
      </c>
      <c r="I274" s="222">
        <f t="shared" si="68"/>
        <v>2995</v>
      </c>
      <c r="J274" s="223">
        <f t="shared" si="71"/>
        <v>4.2146666666666666E-2</v>
      </c>
      <c r="K274" s="223">
        <f t="shared" si="70"/>
        <v>126.22926666666666</v>
      </c>
    </row>
    <row r="275" spans="1:11" x14ac:dyDescent="0.25">
      <c r="A275" s="222"/>
      <c r="B275" s="309" t="s">
        <v>542</v>
      </c>
      <c r="C275" s="222"/>
      <c r="D275" s="223"/>
      <c r="E275" s="222"/>
      <c r="F275" s="222">
        <v>0.5</v>
      </c>
      <c r="G275" s="223">
        <f t="shared" si="72"/>
        <v>4.2146666666666666E-2</v>
      </c>
      <c r="H275" s="223">
        <f t="shared" si="67"/>
        <v>2.1073333333333333E-2</v>
      </c>
      <c r="I275" s="222">
        <f t="shared" si="68"/>
        <v>2994.5</v>
      </c>
      <c r="J275" s="223">
        <f t="shared" si="71"/>
        <v>4.2146666666666666E-2</v>
      </c>
      <c r="K275" s="223">
        <f t="shared" si="70"/>
        <v>126.20819333333333</v>
      </c>
    </row>
    <row r="276" spans="1:11" x14ac:dyDescent="0.25">
      <c r="A276" s="222"/>
      <c r="B276" s="309" t="s">
        <v>546</v>
      </c>
      <c r="C276" s="222"/>
      <c r="D276" s="223"/>
      <c r="E276" s="222"/>
      <c r="F276" s="222">
        <v>0.5</v>
      </c>
      <c r="G276" s="223">
        <f t="shared" si="72"/>
        <v>4.2146666666666666E-2</v>
      </c>
      <c r="H276" s="223">
        <f t="shared" si="67"/>
        <v>2.1073333333333333E-2</v>
      </c>
      <c r="I276" s="222">
        <f t="shared" si="68"/>
        <v>2994</v>
      </c>
      <c r="J276" s="223">
        <f t="shared" si="71"/>
        <v>4.2146666666666666E-2</v>
      </c>
      <c r="K276" s="223">
        <f t="shared" si="70"/>
        <v>126.18711999999999</v>
      </c>
    </row>
    <row r="277" spans="1:11" x14ac:dyDescent="0.25">
      <c r="A277" s="222"/>
      <c r="B277" s="309" t="s">
        <v>549</v>
      </c>
      <c r="C277" s="222"/>
      <c r="D277" s="223"/>
      <c r="E277" s="222"/>
      <c r="F277" s="222">
        <v>0.5</v>
      </c>
      <c r="G277" s="223">
        <f t="shared" si="72"/>
        <v>4.2146666666666666E-2</v>
      </c>
      <c r="H277" s="223">
        <f t="shared" si="67"/>
        <v>2.1073333333333333E-2</v>
      </c>
      <c r="I277" s="222">
        <f t="shared" si="68"/>
        <v>2993.5</v>
      </c>
      <c r="J277" s="223">
        <f t="shared" si="71"/>
        <v>4.2146666666666666E-2</v>
      </c>
      <c r="K277" s="223">
        <f t="shared" si="70"/>
        <v>126.16604666666666</v>
      </c>
    </row>
    <row r="278" spans="1:11" ht="30" x14ac:dyDescent="0.25">
      <c r="A278" s="222"/>
      <c r="B278" s="309" t="s">
        <v>553</v>
      </c>
      <c r="C278" s="222"/>
      <c r="D278" s="223"/>
      <c r="E278" s="222"/>
      <c r="F278" s="222">
        <v>0.5</v>
      </c>
      <c r="G278" s="223">
        <f t="shared" si="72"/>
        <v>4.2146666666666666E-2</v>
      </c>
      <c r="H278" s="223">
        <f t="shared" si="67"/>
        <v>2.1073333333333333E-2</v>
      </c>
      <c r="I278" s="222">
        <f t="shared" si="68"/>
        <v>2993</v>
      </c>
      <c r="J278" s="223">
        <f t="shared" si="71"/>
        <v>4.2146666666666666E-2</v>
      </c>
      <c r="K278" s="223">
        <f t="shared" si="70"/>
        <v>126.14497333333333</v>
      </c>
    </row>
    <row r="279" spans="1:11" ht="30" x14ac:dyDescent="0.25">
      <c r="A279" s="222"/>
      <c r="B279" s="335" t="s">
        <v>553</v>
      </c>
      <c r="C279" s="222"/>
      <c r="D279" s="223"/>
      <c r="E279" s="222"/>
      <c r="F279" s="222">
        <v>0.5</v>
      </c>
      <c r="G279" s="223">
        <f t="shared" si="72"/>
        <v>4.2146666666666666E-2</v>
      </c>
      <c r="H279" s="223">
        <f t="shared" si="67"/>
        <v>2.1073333333333333E-2</v>
      </c>
      <c r="I279" s="222">
        <f t="shared" si="68"/>
        <v>2992.5</v>
      </c>
      <c r="J279" s="223">
        <f t="shared" si="71"/>
        <v>4.2146666666666666E-2</v>
      </c>
      <c r="K279" s="223">
        <f t="shared" si="70"/>
        <v>126.12389999999999</v>
      </c>
    </row>
    <row r="280" spans="1:11" x14ac:dyDescent="0.25">
      <c r="A280" s="222"/>
      <c r="B280" s="309" t="s">
        <v>566</v>
      </c>
      <c r="C280" s="222"/>
      <c r="D280" s="223"/>
      <c r="E280" s="222"/>
      <c r="F280" s="222">
        <v>0.5</v>
      </c>
      <c r="G280" s="223">
        <f t="shared" ref="G280" si="73">+J279</f>
        <v>4.2146666666666666E-2</v>
      </c>
      <c r="H280" s="223">
        <f t="shared" ref="H280" si="74">+G280*F280</f>
        <v>2.1073333333333333E-2</v>
      </c>
      <c r="I280" s="222">
        <f t="shared" ref="I280" si="75">+I279-F280</f>
        <v>2992</v>
      </c>
      <c r="J280" s="223">
        <f t="shared" si="71"/>
        <v>4.2146666666666666E-2</v>
      </c>
      <c r="K280" s="223">
        <f t="shared" ref="K280" si="76">+K279-H280</f>
        <v>126.10282666666666</v>
      </c>
    </row>
    <row r="281" spans="1:11" ht="30" x14ac:dyDescent="0.25">
      <c r="A281" s="222"/>
      <c r="B281" s="309" t="s">
        <v>578</v>
      </c>
      <c r="C281" s="222"/>
      <c r="D281" s="223"/>
      <c r="E281" s="222"/>
      <c r="F281" s="222">
        <v>0.5</v>
      </c>
      <c r="G281" s="223">
        <f t="shared" ref="G281" si="77">+J280</f>
        <v>4.2146666666666666E-2</v>
      </c>
      <c r="H281" s="223">
        <f t="shared" ref="H281" si="78">+G281*F281</f>
        <v>2.1073333333333333E-2</v>
      </c>
      <c r="I281" s="222">
        <f t="shared" ref="I281" si="79">+I280-F281</f>
        <v>2991.5</v>
      </c>
      <c r="J281" s="223">
        <f t="shared" ref="J281" si="80">+K281/I281</f>
        <v>4.2146666666666666E-2</v>
      </c>
      <c r="K281" s="223">
        <f t="shared" ref="K281" si="81">+K280-H281</f>
        <v>126.08175333333332</v>
      </c>
    </row>
    <row r="282" spans="1:11" x14ac:dyDescent="0.25">
      <c r="A282" s="222"/>
      <c r="B282" s="309" t="s">
        <v>592</v>
      </c>
      <c r="C282" s="222"/>
      <c r="D282" s="223"/>
      <c r="E282" s="222"/>
      <c r="F282" s="222">
        <v>0.5</v>
      </c>
      <c r="G282" s="223">
        <f t="shared" ref="G282" si="82">+J281</f>
        <v>4.2146666666666666E-2</v>
      </c>
      <c r="H282" s="223">
        <f t="shared" ref="H282" si="83">+G282*F282</f>
        <v>2.1073333333333333E-2</v>
      </c>
      <c r="I282" s="222">
        <f t="shared" ref="I282" si="84">+I281-F282</f>
        <v>2991</v>
      </c>
      <c r="J282" s="223">
        <f t="shared" ref="J282" si="85">+K282/I282</f>
        <v>4.2146666666666666E-2</v>
      </c>
      <c r="K282" s="223">
        <f t="shared" ref="K282" si="86">+K281-H282</f>
        <v>126.06067999999999</v>
      </c>
    </row>
    <row r="283" spans="1:11" x14ac:dyDescent="0.25">
      <c r="A283" s="222"/>
      <c r="B283" s="309" t="s">
        <v>593</v>
      </c>
      <c r="C283" s="222"/>
      <c r="D283" s="223"/>
      <c r="E283" s="222"/>
      <c r="F283" s="222">
        <v>0.5</v>
      </c>
      <c r="G283" s="223">
        <f t="shared" ref="G283" si="87">+J282</f>
        <v>4.2146666666666666E-2</v>
      </c>
      <c r="H283" s="223">
        <f t="shared" ref="H283" si="88">+G283*F283</f>
        <v>2.1073333333333333E-2</v>
      </c>
      <c r="I283" s="222">
        <f t="shared" ref="I283" si="89">+I282-F283</f>
        <v>2990.5</v>
      </c>
      <c r="J283" s="223">
        <f t="shared" ref="J283" si="90">+K283/I283</f>
        <v>4.2146666666666666E-2</v>
      </c>
      <c r="K283" s="223">
        <f t="shared" ref="K283" si="91">+K282-H283</f>
        <v>126.03960666666666</v>
      </c>
    </row>
    <row r="284" spans="1:11" ht="30" x14ac:dyDescent="0.25">
      <c r="A284" s="222"/>
      <c r="B284" s="335" t="s">
        <v>603</v>
      </c>
      <c r="C284" s="222"/>
      <c r="D284" s="223"/>
      <c r="E284" s="222"/>
      <c r="F284" s="222">
        <v>0.5</v>
      </c>
      <c r="G284" s="223">
        <f t="shared" ref="G284" si="92">+J283</f>
        <v>4.2146666666666666E-2</v>
      </c>
      <c r="H284" s="223">
        <f t="shared" ref="H284" si="93">+G284*F284</f>
        <v>2.1073333333333333E-2</v>
      </c>
      <c r="I284" s="222">
        <f t="shared" ref="I284" si="94">+I283-F284</f>
        <v>2990</v>
      </c>
      <c r="J284" s="223">
        <f t="shared" ref="J284" si="95">+K284/I284</f>
        <v>4.2146666666666666E-2</v>
      </c>
      <c r="K284" s="223">
        <f t="shared" ref="K284" si="96">+K283-H284</f>
        <v>126.01853333333332</v>
      </c>
    </row>
    <row r="285" spans="1:11" x14ac:dyDescent="0.25">
      <c r="A285" s="222"/>
      <c r="B285" s="335" t="s">
        <v>607</v>
      </c>
      <c r="C285" s="222"/>
      <c r="D285" s="223"/>
      <c r="E285" s="222"/>
      <c r="F285" s="222">
        <v>0.5</v>
      </c>
      <c r="G285" s="223">
        <f t="shared" ref="G285" si="97">+J284</f>
        <v>4.2146666666666666E-2</v>
      </c>
      <c r="H285" s="223">
        <f t="shared" ref="H285" si="98">+G285*F285</f>
        <v>2.1073333333333333E-2</v>
      </c>
      <c r="I285" s="222">
        <f t="shared" ref="I285" si="99">+I284-F285</f>
        <v>2989.5</v>
      </c>
      <c r="J285" s="223">
        <f t="shared" ref="J285" si="100">+K285/I285</f>
        <v>4.2146666666666666E-2</v>
      </c>
      <c r="K285" s="223">
        <f t="shared" ref="K285" si="101">+K284-H285</f>
        <v>125.99745999999999</v>
      </c>
    </row>
    <row r="286" spans="1:11" x14ac:dyDescent="0.25">
      <c r="A286" s="222"/>
      <c r="B286" s="335" t="s">
        <v>610</v>
      </c>
      <c r="C286" s="222"/>
      <c r="D286" s="223"/>
      <c r="E286" s="222"/>
      <c r="F286" s="222">
        <v>0.5</v>
      </c>
      <c r="G286" s="223">
        <f t="shared" ref="G286" si="102">+J285</f>
        <v>4.2146666666666666E-2</v>
      </c>
      <c r="H286" s="223">
        <f t="shared" ref="H286:H287" si="103">+G286*F286</f>
        <v>2.1073333333333333E-2</v>
      </c>
      <c r="I286" s="222">
        <f t="shared" ref="I286" si="104">+I285-F286</f>
        <v>2989</v>
      </c>
      <c r="J286" s="223">
        <f t="shared" ref="J286:J287" si="105">+K286/I286</f>
        <v>4.2146666666666666E-2</v>
      </c>
      <c r="K286" s="223">
        <f t="shared" ref="K286" si="106">+K285-H286</f>
        <v>125.97638666666666</v>
      </c>
    </row>
    <row r="287" spans="1:11" x14ac:dyDescent="0.25">
      <c r="A287" s="222"/>
      <c r="B287" s="335" t="s">
        <v>697</v>
      </c>
      <c r="C287" s="222"/>
      <c r="D287" s="223"/>
      <c r="E287" s="222"/>
      <c r="F287" s="222">
        <v>0.5</v>
      </c>
      <c r="G287" s="223">
        <f>+G286</f>
        <v>4.2146666666666666E-2</v>
      </c>
      <c r="H287" s="223">
        <f t="shared" si="103"/>
        <v>2.1073333333333333E-2</v>
      </c>
      <c r="I287" s="222">
        <f>+I286-F287</f>
        <v>2988.5</v>
      </c>
      <c r="J287" s="223">
        <f t="shared" si="105"/>
        <v>4.2146666666666666E-2</v>
      </c>
      <c r="K287" s="223">
        <f>+K286-H287</f>
        <v>125.95531333333332</v>
      </c>
    </row>
    <row r="288" spans="1:11" x14ac:dyDescent="0.25">
      <c r="B288" s="343"/>
    </row>
    <row r="290" spans="1:11" ht="15.75" x14ac:dyDescent="0.25">
      <c r="A290" s="456" t="s">
        <v>10</v>
      </c>
      <c r="B290" s="456"/>
      <c r="C290" s="456"/>
      <c r="D290" s="456"/>
      <c r="E290" s="456"/>
      <c r="F290" s="456"/>
      <c r="G290" s="456"/>
      <c r="H290" s="456"/>
      <c r="I290" s="456"/>
      <c r="J290" s="456"/>
      <c r="K290" s="456"/>
    </row>
    <row r="291" spans="1:11" ht="15.75" x14ac:dyDescent="0.25">
      <c r="A291" s="456" t="s">
        <v>11</v>
      </c>
      <c r="B291" s="456"/>
      <c r="C291" s="456"/>
      <c r="D291" s="456"/>
      <c r="E291" s="456"/>
      <c r="F291" s="456"/>
      <c r="G291" s="456"/>
      <c r="H291" s="456"/>
      <c r="I291" s="456"/>
      <c r="J291" s="456"/>
      <c r="K291" s="456"/>
    </row>
    <row r="292" spans="1:11" x14ac:dyDescent="0.25">
      <c r="A292" s="2" t="s">
        <v>8</v>
      </c>
      <c r="B292" s="465" t="s">
        <v>94</v>
      </c>
      <c r="C292" s="466"/>
      <c r="D292" s="466"/>
      <c r="E292" s="467"/>
      <c r="F292" s="9" t="s">
        <v>48</v>
      </c>
      <c r="G292" s="468" t="s">
        <v>49</v>
      </c>
      <c r="H292" s="469"/>
      <c r="I292" s="469"/>
      <c r="J292" s="469"/>
      <c r="K292" s="470"/>
    </row>
    <row r="293" spans="1:11" x14ac:dyDescent="0.25">
      <c r="A293" s="4" t="s">
        <v>9</v>
      </c>
      <c r="B293" s="471" t="s">
        <v>66</v>
      </c>
      <c r="C293" s="471"/>
      <c r="D293" s="471"/>
      <c r="E293" s="471"/>
      <c r="F293" s="11" t="s">
        <v>50</v>
      </c>
      <c r="G293" s="471" t="s">
        <v>166</v>
      </c>
      <c r="H293" s="471"/>
      <c r="I293" s="471"/>
      <c r="J293" s="471"/>
      <c r="K293" s="471"/>
    </row>
    <row r="294" spans="1:11" x14ac:dyDescent="0.25">
      <c r="A294" s="464" t="s">
        <v>0</v>
      </c>
      <c r="B294" s="464" t="s">
        <v>1</v>
      </c>
      <c r="C294" s="464" t="s">
        <v>2</v>
      </c>
      <c r="D294" s="464"/>
      <c r="E294" s="464"/>
      <c r="F294" s="464" t="s">
        <v>3</v>
      </c>
      <c r="G294" s="464"/>
      <c r="H294" s="464"/>
      <c r="I294" s="464" t="s">
        <v>4</v>
      </c>
      <c r="J294" s="464"/>
      <c r="K294" s="464"/>
    </row>
    <row r="295" spans="1:11" x14ac:dyDescent="0.25">
      <c r="A295" s="464"/>
      <c r="B295" s="464"/>
      <c r="C295" s="2" t="s">
        <v>5</v>
      </c>
      <c r="D295" s="3" t="s">
        <v>6</v>
      </c>
      <c r="E295" s="2" t="s">
        <v>7</v>
      </c>
      <c r="F295" s="2" t="s">
        <v>5</v>
      </c>
      <c r="G295" s="3" t="s">
        <v>6</v>
      </c>
      <c r="H295" s="3" t="s">
        <v>7</v>
      </c>
      <c r="I295" s="2" t="s">
        <v>5</v>
      </c>
      <c r="J295" s="3" t="s">
        <v>6</v>
      </c>
      <c r="K295" s="2" t="s">
        <v>7</v>
      </c>
    </row>
    <row r="296" spans="1:11" x14ac:dyDescent="0.25">
      <c r="A296" s="1"/>
      <c r="B296" s="1" t="s">
        <v>42</v>
      </c>
      <c r="C296" s="1"/>
      <c r="D296" s="34"/>
      <c r="E296" s="1"/>
      <c r="F296" s="1"/>
      <c r="G296" s="34"/>
      <c r="H296" s="34"/>
      <c r="I296" s="1">
        <v>0</v>
      </c>
      <c r="J296" s="34">
        <v>0</v>
      </c>
      <c r="K296" s="1">
        <v>0</v>
      </c>
    </row>
    <row r="297" spans="1:11" ht="15.75" x14ac:dyDescent="0.25">
      <c r="A297" s="7">
        <v>42009</v>
      </c>
      <c r="B297" s="8" t="s">
        <v>43</v>
      </c>
      <c r="C297" s="6">
        <v>600</v>
      </c>
      <c r="D297" s="27">
        <f>+E297/C297</f>
        <v>5.6666666666666664E-2</v>
      </c>
      <c r="E297" s="8">
        <v>34</v>
      </c>
      <c r="F297" s="8"/>
      <c r="G297" s="27"/>
      <c r="H297" s="27"/>
      <c r="I297" s="6">
        <f>+I296+C297</f>
        <v>600</v>
      </c>
      <c r="J297" s="27">
        <f>+K297/I297</f>
        <v>5.6666666666666664E-2</v>
      </c>
      <c r="K297" s="8">
        <f>+K296+E297</f>
        <v>34</v>
      </c>
    </row>
    <row r="298" spans="1:11" x14ac:dyDescent="0.25">
      <c r="A298" s="307"/>
      <c r="B298" s="335" t="s">
        <v>590</v>
      </c>
      <c r="C298" s="222"/>
      <c r="D298" s="223"/>
      <c r="E298" s="222"/>
      <c r="F298" s="222">
        <v>3</v>
      </c>
      <c r="G298" s="223">
        <f>+J297</f>
        <v>5.6666666666666664E-2</v>
      </c>
      <c r="H298" s="223">
        <f>+G298*F298</f>
        <v>0.16999999999999998</v>
      </c>
      <c r="I298" s="222">
        <f>+I297-F298</f>
        <v>597</v>
      </c>
      <c r="J298" s="223">
        <f>+K298/I298</f>
        <v>5.6666666666666664E-2</v>
      </c>
      <c r="K298" s="223">
        <f>+K297-H298</f>
        <v>33.83</v>
      </c>
    </row>
    <row r="299" spans="1:11" x14ac:dyDescent="0.25">
      <c r="A299" s="5"/>
      <c r="B299" s="2"/>
      <c r="C299" s="2"/>
      <c r="D299" s="3"/>
      <c r="E299" s="2"/>
      <c r="F299" s="2"/>
      <c r="G299" s="3"/>
      <c r="H299" s="3"/>
      <c r="I299" s="2"/>
      <c r="J299" s="3"/>
      <c r="K299" s="3"/>
    </row>
    <row r="300" spans="1:11" x14ac:dyDescent="0.25">
      <c r="A300" s="5"/>
      <c r="B300" s="2"/>
      <c r="C300" s="2"/>
      <c r="D300" s="3"/>
      <c r="E300" s="2"/>
      <c r="F300" s="2"/>
      <c r="G300" s="3"/>
      <c r="H300" s="3"/>
      <c r="I300" s="2"/>
      <c r="J300" s="3"/>
      <c r="K300" s="3"/>
    </row>
    <row r="303" spans="1:11" ht="15.75" x14ac:dyDescent="0.25">
      <c r="A303" s="456" t="s">
        <v>10</v>
      </c>
      <c r="B303" s="456"/>
      <c r="C303" s="456"/>
      <c r="D303" s="456"/>
      <c r="E303" s="456"/>
      <c r="F303" s="456"/>
      <c r="G303" s="456"/>
      <c r="H303" s="456"/>
      <c r="I303" s="456"/>
      <c r="J303" s="456"/>
      <c r="K303" s="456"/>
    </row>
    <row r="304" spans="1:11" ht="15.75" x14ac:dyDescent="0.25">
      <c r="A304" s="456" t="s">
        <v>11</v>
      </c>
      <c r="B304" s="456"/>
      <c r="C304" s="456"/>
      <c r="D304" s="456"/>
      <c r="E304" s="456"/>
      <c r="F304" s="456"/>
      <c r="G304" s="456"/>
      <c r="H304" s="456"/>
      <c r="I304" s="456"/>
      <c r="J304" s="456"/>
      <c r="K304" s="456"/>
    </row>
    <row r="305" spans="1:11" x14ac:dyDescent="0.25">
      <c r="A305" s="2" t="s">
        <v>8</v>
      </c>
      <c r="B305" s="465" t="s">
        <v>95</v>
      </c>
      <c r="C305" s="466"/>
      <c r="D305" s="466"/>
      <c r="E305" s="467"/>
      <c r="F305" s="9" t="s">
        <v>48</v>
      </c>
      <c r="G305" s="468" t="s">
        <v>49</v>
      </c>
      <c r="H305" s="469"/>
      <c r="I305" s="469"/>
      <c r="J305" s="469"/>
      <c r="K305" s="470"/>
    </row>
    <row r="306" spans="1:11" x14ac:dyDescent="0.25">
      <c r="A306" s="4" t="s">
        <v>9</v>
      </c>
      <c r="B306" s="471" t="s">
        <v>66</v>
      </c>
      <c r="C306" s="471"/>
      <c r="D306" s="471"/>
      <c r="E306" s="471"/>
      <c r="F306" s="11" t="s">
        <v>50</v>
      </c>
      <c r="G306" s="471" t="s">
        <v>166</v>
      </c>
      <c r="H306" s="471"/>
      <c r="I306" s="471"/>
      <c r="J306" s="471"/>
      <c r="K306" s="471"/>
    </row>
    <row r="307" spans="1:11" x14ac:dyDescent="0.25">
      <c r="A307" s="464" t="s">
        <v>0</v>
      </c>
      <c r="B307" s="464" t="s">
        <v>1</v>
      </c>
      <c r="C307" s="464" t="s">
        <v>2</v>
      </c>
      <c r="D307" s="464"/>
      <c r="E307" s="464"/>
      <c r="F307" s="464" t="s">
        <v>3</v>
      </c>
      <c r="G307" s="464"/>
      <c r="H307" s="464"/>
      <c r="I307" s="464" t="s">
        <v>4</v>
      </c>
      <c r="J307" s="464"/>
      <c r="K307" s="464"/>
    </row>
    <row r="308" spans="1:11" x14ac:dyDescent="0.25">
      <c r="A308" s="464"/>
      <c r="B308" s="464"/>
      <c r="C308" s="2" t="s">
        <v>5</v>
      </c>
      <c r="D308" s="3" t="s">
        <v>6</v>
      </c>
      <c r="E308" s="2" t="s">
        <v>7</v>
      </c>
      <c r="F308" s="2" t="s">
        <v>5</v>
      </c>
      <c r="G308" s="3" t="s">
        <v>6</v>
      </c>
      <c r="H308" s="3" t="s">
        <v>7</v>
      </c>
      <c r="I308" s="2" t="s">
        <v>5</v>
      </c>
      <c r="J308" s="3" t="s">
        <v>6</v>
      </c>
      <c r="K308" s="2" t="s">
        <v>7</v>
      </c>
    </row>
    <row r="309" spans="1:11" x14ac:dyDescent="0.25">
      <c r="A309" s="1"/>
      <c r="B309" s="1" t="s">
        <v>42</v>
      </c>
      <c r="C309" s="1"/>
      <c r="D309" s="34"/>
      <c r="E309" s="1"/>
      <c r="F309" s="1"/>
      <c r="G309" s="34"/>
      <c r="H309" s="34"/>
      <c r="I309" s="1">
        <v>0</v>
      </c>
      <c r="J309" s="34">
        <v>0</v>
      </c>
      <c r="K309" s="1">
        <v>0</v>
      </c>
    </row>
    <row r="310" spans="1:11" ht="15.75" x14ac:dyDescent="0.25">
      <c r="A310" s="7">
        <v>42009</v>
      </c>
      <c r="B310" s="8" t="s">
        <v>43</v>
      </c>
      <c r="C310" s="6">
        <v>600</v>
      </c>
      <c r="D310" s="27">
        <f>+E310/C310</f>
        <v>5.6666666666666664E-2</v>
      </c>
      <c r="E310" s="8">
        <v>34</v>
      </c>
      <c r="F310" s="8"/>
      <c r="G310" s="27"/>
      <c r="H310" s="27"/>
      <c r="I310" s="6">
        <f>+I309+C310</f>
        <v>600</v>
      </c>
      <c r="J310" s="27">
        <f>+K310/I310</f>
        <v>5.6666666666666664E-2</v>
      </c>
      <c r="K310" s="8">
        <f>+K309+E310</f>
        <v>34</v>
      </c>
    </row>
    <row r="311" spans="1:11" x14ac:dyDescent="0.25">
      <c r="A311" s="307"/>
      <c r="B311" s="335" t="s">
        <v>590</v>
      </c>
      <c r="C311" s="222"/>
      <c r="D311" s="223"/>
      <c r="E311" s="222"/>
      <c r="F311" s="222">
        <v>3</v>
      </c>
      <c r="G311" s="223">
        <f>+J310</f>
        <v>5.6666666666666664E-2</v>
      </c>
      <c r="H311" s="223">
        <f>+G311*F311</f>
        <v>0.16999999999999998</v>
      </c>
      <c r="I311" s="222">
        <f>+I310-F311</f>
        <v>597</v>
      </c>
      <c r="J311" s="223">
        <f>+K311/I311</f>
        <v>5.6666666666666664E-2</v>
      </c>
      <c r="K311" s="223">
        <f>+K310-H311</f>
        <v>33.83</v>
      </c>
    </row>
    <row r="312" spans="1:11" x14ac:dyDescent="0.25">
      <c r="A312" s="5"/>
      <c r="B312" s="2"/>
      <c r="C312" s="2"/>
      <c r="D312" s="3"/>
      <c r="E312" s="2"/>
      <c r="F312" s="2"/>
      <c r="G312" s="3"/>
      <c r="H312" s="3"/>
      <c r="I312" s="2"/>
      <c r="J312" s="3"/>
      <c r="K312" s="3"/>
    </row>
    <row r="313" spans="1:11" x14ac:dyDescent="0.25">
      <c r="A313" s="5"/>
      <c r="B313" s="2"/>
      <c r="C313" s="2"/>
      <c r="D313" s="3"/>
      <c r="E313" s="2"/>
      <c r="F313" s="2"/>
      <c r="G313" s="3"/>
      <c r="H313" s="3"/>
      <c r="I313" s="2"/>
      <c r="J313" s="3"/>
      <c r="K313" s="3"/>
    </row>
    <row r="317" spans="1:11" ht="15.75" x14ac:dyDescent="0.25">
      <c r="A317" s="456" t="s">
        <v>10</v>
      </c>
      <c r="B317" s="456"/>
      <c r="C317" s="456"/>
      <c r="D317" s="456"/>
      <c r="E317" s="456"/>
      <c r="F317" s="456"/>
      <c r="G317" s="456"/>
      <c r="H317" s="456"/>
      <c r="I317" s="456"/>
      <c r="J317" s="456"/>
      <c r="K317" s="456"/>
    </row>
    <row r="318" spans="1:11" ht="15.75" x14ac:dyDescent="0.25">
      <c r="A318" s="456" t="s">
        <v>11</v>
      </c>
      <c r="B318" s="456"/>
      <c r="C318" s="456"/>
      <c r="D318" s="456"/>
      <c r="E318" s="456"/>
      <c r="F318" s="456"/>
      <c r="G318" s="456"/>
      <c r="H318" s="456"/>
      <c r="I318" s="456"/>
      <c r="J318" s="456"/>
      <c r="K318" s="456"/>
    </row>
    <row r="319" spans="1:11" x14ac:dyDescent="0.25">
      <c r="A319" s="2" t="s">
        <v>8</v>
      </c>
      <c r="B319" s="465" t="s">
        <v>96</v>
      </c>
      <c r="C319" s="466"/>
      <c r="D319" s="466"/>
      <c r="E319" s="467"/>
      <c r="F319" s="9" t="s">
        <v>48</v>
      </c>
      <c r="G319" s="468" t="s">
        <v>49</v>
      </c>
      <c r="H319" s="469"/>
      <c r="I319" s="469"/>
      <c r="J319" s="469"/>
      <c r="K319" s="470"/>
    </row>
    <row r="320" spans="1:11" x14ac:dyDescent="0.25">
      <c r="A320" s="4" t="s">
        <v>9</v>
      </c>
      <c r="B320" s="471" t="s">
        <v>72</v>
      </c>
      <c r="C320" s="471"/>
      <c r="D320" s="471"/>
      <c r="E320" s="471"/>
      <c r="F320" s="11" t="s">
        <v>50</v>
      </c>
      <c r="G320" s="471" t="s">
        <v>67</v>
      </c>
      <c r="H320" s="471"/>
      <c r="I320" s="471"/>
      <c r="J320" s="471"/>
      <c r="K320" s="471"/>
    </row>
    <row r="321" spans="1:11" x14ac:dyDescent="0.25">
      <c r="A321" s="464" t="s">
        <v>0</v>
      </c>
      <c r="B321" s="464" t="s">
        <v>1</v>
      </c>
      <c r="C321" s="464" t="s">
        <v>2</v>
      </c>
      <c r="D321" s="464"/>
      <c r="E321" s="464"/>
      <c r="F321" s="464" t="s">
        <v>3</v>
      </c>
      <c r="G321" s="464"/>
      <c r="H321" s="464"/>
      <c r="I321" s="464" t="s">
        <v>4</v>
      </c>
      <c r="J321" s="464"/>
      <c r="K321" s="464"/>
    </row>
    <row r="322" spans="1:11" x14ac:dyDescent="0.25">
      <c r="A322" s="464"/>
      <c r="B322" s="464"/>
      <c r="C322" s="2" t="s">
        <v>5</v>
      </c>
      <c r="D322" s="3" t="s">
        <v>6</v>
      </c>
      <c r="E322" s="2" t="s">
        <v>7</v>
      </c>
      <c r="F322" s="2" t="s">
        <v>5</v>
      </c>
      <c r="G322" s="3" t="s">
        <v>6</v>
      </c>
      <c r="H322" s="3" t="s">
        <v>7</v>
      </c>
      <c r="I322" s="2" t="s">
        <v>5</v>
      </c>
      <c r="J322" s="3" t="s">
        <v>6</v>
      </c>
      <c r="K322" s="2" t="s">
        <v>7</v>
      </c>
    </row>
    <row r="323" spans="1:11" x14ac:dyDescent="0.25">
      <c r="A323" s="1"/>
      <c r="B323" s="1" t="s">
        <v>42</v>
      </c>
      <c r="C323" s="1"/>
      <c r="D323" s="34"/>
      <c r="E323" s="1"/>
      <c r="F323" s="1"/>
      <c r="G323" s="34"/>
      <c r="H323" s="34"/>
      <c r="I323" s="1">
        <v>0</v>
      </c>
      <c r="J323" s="34">
        <v>0</v>
      </c>
      <c r="K323" s="1">
        <v>0</v>
      </c>
    </row>
    <row r="324" spans="1:11" ht="15.75" x14ac:dyDescent="0.25">
      <c r="A324" s="7">
        <v>42009</v>
      </c>
      <c r="B324" s="8" t="s">
        <v>43</v>
      </c>
      <c r="C324" s="6">
        <v>1500</v>
      </c>
      <c r="D324" s="27">
        <f>+E324/C324</f>
        <v>5.3399999999999996E-2</v>
      </c>
      <c r="E324" s="8">
        <v>80.099999999999994</v>
      </c>
      <c r="F324" s="8"/>
      <c r="G324" s="27"/>
      <c r="H324" s="27"/>
      <c r="I324" s="6">
        <f>+I323+C324</f>
        <v>1500</v>
      </c>
      <c r="J324" s="27">
        <f t="shared" ref="J324:J329" si="107">+K324/I324</f>
        <v>5.3399999999999996E-2</v>
      </c>
      <c r="K324" s="8">
        <f>+K323+E324</f>
        <v>80.099999999999994</v>
      </c>
    </row>
    <row r="325" spans="1:11" ht="15.75" x14ac:dyDescent="0.25">
      <c r="A325" s="122">
        <v>42297</v>
      </c>
      <c r="B325" s="107" t="s">
        <v>363</v>
      </c>
      <c r="C325" s="68"/>
      <c r="D325" s="69"/>
      <c r="E325" s="68"/>
      <c r="F325" s="68">
        <v>1</v>
      </c>
      <c r="G325" s="69">
        <f t="shared" ref="G325:G329" si="108">+J324</f>
        <v>5.3399999999999996E-2</v>
      </c>
      <c r="H325" s="69">
        <f t="shared" ref="H325:H329" si="109">+G325*F325</f>
        <v>5.3399999999999996E-2</v>
      </c>
      <c r="I325" s="68">
        <f t="shared" ref="I325:I329" si="110">+I324-F325</f>
        <v>1499</v>
      </c>
      <c r="J325" s="69">
        <f t="shared" si="107"/>
        <v>5.3399999999999996E-2</v>
      </c>
      <c r="K325" s="69">
        <f t="shared" ref="K325:K332" si="111">+K324-H325</f>
        <v>80.046599999999998</v>
      </c>
    </row>
    <row r="326" spans="1:11" ht="15.75" x14ac:dyDescent="0.25">
      <c r="A326" s="122">
        <v>42304</v>
      </c>
      <c r="B326" s="107" t="s">
        <v>390</v>
      </c>
      <c r="C326" s="68"/>
      <c r="D326" s="69"/>
      <c r="E326" s="68"/>
      <c r="F326" s="68">
        <v>1</v>
      </c>
      <c r="G326" s="69">
        <f t="shared" si="108"/>
        <v>5.3399999999999996E-2</v>
      </c>
      <c r="H326" s="69">
        <f t="shared" si="109"/>
        <v>5.3399999999999996E-2</v>
      </c>
      <c r="I326" s="68">
        <f t="shared" si="110"/>
        <v>1498</v>
      </c>
      <c r="J326" s="69">
        <f t="shared" si="107"/>
        <v>5.3400000000000003E-2</v>
      </c>
      <c r="K326" s="69">
        <f t="shared" si="111"/>
        <v>79.993200000000002</v>
      </c>
    </row>
    <row r="327" spans="1:11" ht="36.75" customHeight="1" x14ac:dyDescent="0.25">
      <c r="A327" s="307"/>
      <c r="B327" s="309" t="s">
        <v>538</v>
      </c>
      <c r="C327" s="222"/>
      <c r="D327" s="223"/>
      <c r="E327" s="222"/>
      <c r="F327" s="222">
        <v>1</v>
      </c>
      <c r="G327" s="223">
        <f t="shared" si="108"/>
        <v>5.3400000000000003E-2</v>
      </c>
      <c r="H327" s="223">
        <f t="shared" si="109"/>
        <v>5.3400000000000003E-2</v>
      </c>
      <c r="I327" s="222">
        <f t="shared" si="110"/>
        <v>1497</v>
      </c>
      <c r="J327" s="223">
        <f t="shared" si="107"/>
        <v>5.3400000000000003E-2</v>
      </c>
      <c r="K327" s="223">
        <f t="shared" si="111"/>
        <v>79.939800000000005</v>
      </c>
    </row>
    <row r="328" spans="1:11" ht="36.75" customHeight="1" x14ac:dyDescent="0.25">
      <c r="A328" s="307"/>
      <c r="B328" s="309" t="s">
        <v>542</v>
      </c>
      <c r="C328" s="222"/>
      <c r="D328" s="223"/>
      <c r="E328" s="222"/>
      <c r="F328" s="222">
        <v>1</v>
      </c>
      <c r="G328" s="223">
        <f t="shared" si="108"/>
        <v>5.3400000000000003E-2</v>
      </c>
      <c r="H328" s="223">
        <f t="shared" si="109"/>
        <v>5.3400000000000003E-2</v>
      </c>
      <c r="I328" s="222">
        <f t="shared" si="110"/>
        <v>1496</v>
      </c>
      <c r="J328" s="223">
        <f t="shared" si="107"/>
        <v>5.3400000000000003E-2</v>
      </c>
      <c r="K328" s="223">
        <f t="shared" si="111"/>
        <v>79.886400000000009</v>
      </c>
    </row>
    <row r="329" spans="1:11" x14ac:dyDescent="0.25">
      <c r="A329" s="307"/>
      <c r="B329" s="335" t="s">
        <v>546</v>
      </c>
      <c r="C329" s="222"/>
      <c r="D329" s="223"/>
      <c r="E329" s="222"/>
      <c r="F329" s="222">
        <v>1</v>
      </c>
      <c r="G329" s="223">
        <f t="shared" si="108"/>
        <v>5.3400000000000003E-2</v>
      </c>
      <c r="H329" s="223">
        <f t="shared" si="109"/>
        <v>5.3400000000000003E-2</v>
      </c>
      <c r="I329" s="222">
        <f t="shared" si="110"/>
        <v>1495</v>
      </c>
      <c r="J329" s="223">
        <f t="shared" si="107"/>
        <v>5.340000000000001E-2</v>
      </c>
      <c r="K329" s="223">
        <f t="shared" si="111"/>
        <v>79.833000000000013</v>
      </c>
    </row>
    <row r="330" spans="1:11" x14ac:dyDescent="0.25">
      <c r="A330" s="222"/>
      <c r="B330" s="309" t="s">
        <v>549</v>
      </c>
      <c r="C330" s="222"/>
      <c r="D330" s="223"/>
      <c r="E330" s="222"/>
      <c r="F330" s="222">
        <v>1</v>
      </c>
      <c r="G330" s="223">
        <f t="shared" ref="G330:G335" si="112">+J329</f>
        <v>5.340000000000001E-2</v>
      </c>
      <c r="H330" s="223">
        <f t="shared" ref="H330:H335" si="113">+G330*F330</f>
        <v>5.340000000000001E-2</v>
      </c>
      <c r="I330" s="222">
        <f t="shared" ref="I330:I335" si="114">+I329-F330</f>
        <v>1494</v>
      </c>
      <c r="J330" s="223">
        <f t="shared" ref="J330:J335" si="115">+K330/I330</f>
        <v>5.340000000000001E-2</v>
      </c>
      <c r="K330" s="223">
        <f t="shared" si="111"/>
        <v>79.779600000000016</v>
      </c>
    </row>
    <row r="331" spans="1:11" x14ac:dyDescent="0.25">
      <c r="A331" s="222"/>
      <c r="B331" s="309" t="s">
        <v>566</v>
      </c>
      <c r="C331" s="222"/>
      <c r="D331" s="223"/>
      <c r="E331" s="222"/>
      <c r="F331" s="222">
        <v>1</v>
      </c>
      <c r="G331" s="223">
        <f t="shared" si="112"/>
        <v>5.340000000000001E-2</v>
      </c>
      <c r="H331" s="223">
        <f t="shared" si="113"/>
        <v>5.340000000000001E-2</v>
      </c>
      <c r="I331" s="222">
        <f t="shared" si="114"/>
        <v>1493</v>
      </c>
      <c r="J331" s="223">
        <f t="shared" si="115"/>
        <v>5.340000000000001E-2</v>
      </c>
      <c r="K331" s="223">
        <f t="shared" si="111"/>
        <v>79.72620000000002</v>
      </c>
    </row>
    <row r="332" spans="1:11" ht="30" x14ac:dyDescent="0.25">
      <c r="A332" s="222"/>
      <c r="B332" s="309" t="s">
        <v>574</v>
      </c>
      <c r="C332" s="222"/>
      <c r="D332" s="223"/>
      <c r="E332" s="222"/>
      <c r="F332" s="222">
        <v>1</v>
      </c>
      <c r="G332" s="223">
        <f t="shared" si="112"/>
        <v>5.340000000000001E-2</v>
      </c>
      <c r="H332" s="223">
        <f t="shared" si="113"/>
        <v>5.340000000000001E-2</v>
      </c>
      <c r="I332" s="222">
        <f t="shared" si="114"/>
        <v>1492</v>
      </c>
      <c r="J332" s="223">
        <f t="shared" si="115"/>
        <v>5.3400000000000017E-2</v>
      </c>
      <c r="K332" s="223">
        <f t="shared" si="111"/>
        <v>79.672800000000024</v>
      </c>
    </row>
    <row r="333" spans="1:11" ht="30" x14ac:dyDescent="0.25">
      <c r="A333" s="222"/>
      <c r="B333" s="309" t="s">
        <v>578</v>
      </c>
      <c r="C333" s="222"/>
      <c r="D333" s="223"/>
      <c r="E333" s="222"/>
      <c r="F333" s="222">
        <v>1</v>
      </c>
      <c r="G333" s="223">
        <f t="shared" si="112"/>
        <v>5.3400000000000017E-2</v>
      </c>
      <c r="H333" s="223">
        <f t="shared" si="113"/>
        <v>5.3400000000000017E-2</v>
      </c>
      <c r="I333" s="222">
        <f t="shared" si="114"/>
        <v>1491</v>
      </c>
      <c r="J333" s="223">
        <f t="shared" si="115"/>
        <v>5.3400000000000017E-2</v>
      </c>
      <c r="K333" s="223">
        <f t="shared" ref="K333" si="116">+K332-H333</f>
        <v>79.619400000000027</v>
      </c>
    </row>
    <row r="334" spans="1:11" x14ac:dyDescent="0.25">
      <c r="A334" s="222"/>
      <c r="B334" s="335" t="s">
        <v>583</v>
      </c>
      <c r="C334" s="222"/>
      <c r="D334" s="223"/>
      <c r="E334" s="222"/>
      <c r="F334" s="222">
        <v>1</v>
      </c>
      <c r="G334" s="223">
        <f t="shared" si="112"/>
        <v>5.3400000000000017E-2</v>
      </c>
      <c r="H334" s="223">
        <f t="shared" si="113"/>
        <v>5.3400000000000017E-2</v>
      </c>
      <c r="I334" s="222">
        <f t="shared" si="114"/>
        <v>1490</v>
      </c>
      <c r="J334" s="223">
        <f t="shared" si="115"/>
        <v>5.3400000000000024E-2</v>
      </c>
      <c r="K334" s="223">
        <f t="shared" ref="K334" si="117">+K333-H334</f>
        <v>79.566000000000031</v>
      </c>
    </row>
    <row r="335" spans="1:11" x14ac:dyDescent="0.25">
      <c r="A335" s="222"/>
      <c r="B335" s="309" t="s">
        <v>607</v>
      </c>
      <c r="C335" s="222"/>
      <c r="D335" s="223"/>
      <c r="E335" s="222"/>
      <c r="F335" s="222">
        <v>1</v>
      </c>
      <c r="G335" s="223">
        <f t="shared" si="112"/>
        <v>5.3400000000000024E-2</v>
      </c>
      <c r="H335" s="223">
        <f t="shared" si="113"/>
        <v>5.3400000000000024E-2</v>
      </c>
      <c r="I335" s="222">
        <f t="shared" si="114"/>
        <v>1489</v>
      </c>
      <c r="J335" s="223">
        <f t="shared" si="115"/>
        <v>5.3400000000000024E-2</v>
      </c>
      <c r="K335" s="223">
        <f t="shared" ref="K335" si="118">+K334-H335</f>
        <v>79.512600000000035</v>
      </c>
    </row>
    <row r="339" spans="1:11" ht="15.75" x14ac:dyDescent="0.25">
      <c r="A339" s="456" t="s">
        <v>10</v>
      </c>
      <c r="B339" s="456"/>
      <c r="C339" s="456"/>
      <c r="D339" s="456"/>
      <c r="E339" s="456"/>
      <c r="F339" s="456"/>
      <c r="G339" s="456"/>
      <c r="H339" s="456"/>
      <c r="I339" s="456"/>
      <c r="J339" s="456"/>
      <c r="K339" s="456"/>
    </row>
    <row r="340" spans="1:11" ht="15.75" x14ac:dyDescent="0.25">
      <c r="A340" s="456" t="s">
        <v>11</v>
      </c>
      <c r="B340" s="456"/>
      <c r="C340" s="456"/>
      <c r="D340" s="456"/>
      <c r="E340" s="456"/>
      <c r="F340" s="456"/>
      <c r="G340" s="456"/>
      <c r="H340" s="456"/>
      <c r="I340" s="456"/>
      <c r="J340" s="456"/>
      <c r="K340" s="456"/>
    </row>
    <row r="341" spans="1:11" x14ac:dyDescent="0.25">
      <c r="A341" s="2" t="s">
        <v>8</v>
      </c>
      <c r="B341" s="465" t="s">
        <v>97</v>
      </c>
      <c r="C341" s="466"/>
      <c r="D341" s="466"/>
      <c r="E341" s="467"/>
      <c r="F341" s="9" t="s">
        <v>48</v>
      </c>
      <c r="G341" s="468" t="s">
        <v>49</v>
      </c>
      <c r="H341" s="469"/>
      <c r="I341" s="469"/>
      <c r="J341" s="469"/>
      <c r="K341" s="470"/>
    </row>
    <row r="342" spans="1:11" x14ac:dyDescent="0.25">
      <c r="A342" s="4" t="s">
        <v>9</v>
      </c>
      <c r="B342" s="471" t="s">
        <v>72</v>
      </c>
      <c r="C342" s="471"/>
      <c r="D342" s="471"/>
      <c r="E342" s="471"/>
      <c r="F342" s="11" t="s">
        <v>50</v>
      </c>
      <c r="G342" s="471" t="s">
        <v>73</v>
      </c>
      <c r="H342" s="471"/>
      <c r="I342" s="471"/>
      <c r="J342" s="471"/>
      <c r="K342" s="471"/>
    </row>
    <row r="343" spans="1:11" x14ac:dyDescent="0.25">
      <c r="A343" s="464" t="s">
        <v>0</v>
      </c>
      <c r="B343" s="464" t="s">
        <v>1</v>
      </c>
      <c r="C343" s="464" t="s">
        <v>2</v>
      </c>
      <c r="D343" s="464"/>
      <c r="E343" s="464"/>
      <c r="F343" s="464" t="s">
        <v>3</v>
      </c>
      <c r="G343" s="464"/>
      <c r="H343" s="464"/>
      <c r="I343" s="464" t="s">
        <v>4</v>
      </c>
      <c r="J343" s="464"/>
      <c r="K343" s="464"/>
    </row>
    <row r="344" spans="1:11" x14ac:dyDescent="0.25">
      <c r="A344" s="464"/>
      <c r="B344" s="464"/>
      <c r="C344" s="2" t="s">
        <v>5</v>
      </c>
      <c r="D344" s="3" t="s">
        <v>6</v>
      </c>
      <c r="E344" s="2" t="s">
        <v>7</v>
      </c>
      <c r="F344" s="2" t="s">
        <v>5</v>
      </c>
      <c r="G344" s="3" t="s">
        <v>6</v>
      </c>
      <c r="H344" s="3" t="s">
        <v>7</v>
      </c>
      <c r="I344" s="2" t="s">
        <v>5</v>
      </c>
      <c r="J344" s="3" t="s">
        <v>6</v>
      </c>
      <c r="K344" s="2" t="s">
        <v>7</v>
      </c>
    </row>
    <row r="345" spans="1:11" x14ac:dyDescent="0.25">
      <c r="A345" s="1"/>
      <c r="B345" s="1" t="s">
        <v>42</v>
      </c>
      <c r="C345" s="1"/>
      <c r="D345" s="34"/>
      <c r="E345" s="1"/>
      <c r="F345" s="1"/>
      <c r="G345" s="34"/>
      <c r="H345" s="34"/>
      <c r="I345" s="1">
        <v>0</v>
      </c>
      <c r="J345" s="34">
        <v>0</v>
      </c>
      <c r="K345" s="1">
        <v>0</v>
      </c>
    </row>
    <row r="346" spans="1:11" ht="15.75" x14ac:dyDescent="0.25">
      <c r="A346" s="7">
        <v>42009</v>
      </c>
      <c r="B346" s="8" t="s">
        <v>43</v>
      </c>
      <c r="C346" s="6">
        <v>2000</v>
      </c>
      <c r="D346" s="27">
        <f>+E346/C346</f>
        <v>3.4979999999999997E-2</v>
      </c>
      <c r="E346" s="8">
        <v>69.959999999999994</v>
      </c>
      <c r="F346" s="8"/>
      <c r="G346" s="27"/>
      <c r="H346" s="27"/>
      <c r="I346" s="6">
        <f>+I345+C346</f>
        <v>2000</v>
      </c>
      <c r="J346" s="27">
        <f t="shared" ref="J346:J354" si="119">+K346/I346</f>
        <v>3.4979999999999997E-2</v>
      </c>
      <c r="K346" s="8">
        <f>+K345+E346</f>
        <v>69.959999999999994</v>
      </c>
    </row>
    <row r="347" spans="1:11" ht="15.75" x14ac:dyDescent="0.25">
      <c r="A347" s="122">
        <v>42297</v>
      </c>
      <c r="B347" s="107" t="s">
        <v>363</v>
      </c>
      <c r="C347" s="68"/>
      <c r="D347" s="69"/>
      <c r="E347" s="68"/>
      <c r="F347" s="68">
        <v>1</v>
      </c>
      <c r="G347" s="69">
        <f t="shared" ref="G347:G354" si="120">+J346</f>
        <v>3.4979999999999997E-2</v>
      </c>
      <c r="H347" s="69">
        <f t="shared" ref="H347:H354" si="121">+G347*F347</f>
        <v>3.4979999999999997E-2</v>
      </c>
      <c r="I347" s="68">
        <f t="shared" ref="I347:I354" si="122">+I346-F347</f>
        <v>1999</v>
      </c>
      <c r="J347" s="69">
        <f t="shared" si="119"/>
        <v>3.4979999999999997E-2</v>
      </c>
      <c r="K347" s="69">
        <f t="shared" ref="K347:K354" si="123">+K346-H347</f>
        <v>69.925019999999989</v>
      </c>
    </row>
    <row r="348" spans="1:11" ht="15.75" x14ac:dyDescent="0.25">
      <c r="A348" s="122">
        <v>42304</v>
      </c>
      <c r="B348" s="107" t="s">
        <v>390</v>
      </c>
      <c r="C348" s="68"/>
      <c r="D348" s="69"/>
      <c r="E348" s="68"/>
      <c r="F348" s="68">
        <v>1</v>
      </c>
      <c r="G348" s="69">
        <f t="shared" si="120"/>
        <v>3.4979999999999997E-2</v>
      </c>
      <c r="H348" s="69">
        <f t="shared" si="121"/>
        <v>3.4979999999999997E-2</v>
      </c>
      <c r="I348" s="68">
        <f t="shared" si="122"/>
        <v>1998</v>
      </c>
      <c r="J348" s="69">
        <f t="shared" si="119"/>
        <v>3.497999999999999E-2</v>
      </c>
      <c r="K348" s="69">
        <f t="shared" si="123"/>
        <v>69.890039999999985</v>
      </c>
    </row>
    <row r="349" spans="1:11" ht="29.25" customHeight="1" x14ac:dyDescent="0.25">
      <c r="A349" s="307"/>
      <c r="B349" s="309" t="s">
        <v>538</v>
      </c>
      <c r="C349" s="222"/>
      <c r="D349" s="223"/>
      <c r="E349" s="222"/>
      <c r="F349" s="222">
        <v>1</v>
      </c>
      <c r="G349" s="223">
        <f t="shared" si="120"/>
        <v>3.497999999999999E-2</v>
      </c>
      <c r="H349" s="223">
        <f t="shared" si="121"/>
        <v>3.497999999999999E-2</v>
      </c>
      <c r="I349" s="222">
        <f t="shared" si="122"/>
        <v>1997</v>
      </c>
      <c r="J349" s="223">
        <f t="shared" si="119"/>
        <v>3.497999999999999E-2</v>
      </c>
      <c r="K349" s="223">
        <f t="shared" si="123"/>
        <v>69.85505999999998</v>
      </c>
    </row>
    <row r="350" spans="1:11" x14ac:dyDescent="0.25">
      <c r="A350" s="307"/>
      <c r="B350" s="335" t="s">
        <v>542</v>
      </c>
      <c r="C350" s="222"/>
      <c r="D350" s="223"/>
      <c r="E350" s="222"/>
      <c r="F350" s="222">
        <v>1</v>
      </c>
      <c r="G350" s="223">
        <f t="shared" si="120"/>
        <v>3.497999999999999E-2</v>
      </c>
      <c r="H350" s="223">
        <f t="shared" si="121"/>
        <v>3.497999999999999E-2</v>
      </c>
      <c r="I350" s="222">
        <f t="shared" si="122"/>
        <v>1996</v>
      </c>
      <c r="J350" s="223">
        <f t="shared" si="119"/>
        <v>3.497999999999999E-2</v>
      </c>
      <c r="K350" s="223">
        <f t="shared" si="123"/>
        <v>69.820079999999976</v>
      </c>
    </row>
    <row r="351" spans="1:11" x14ac:dyDescent="0.25">
      <c r="A351" s="307"/>
      <c r="B351" s="335" t="s">
        <v>546</v>
      </c>
      <c r="C351" s="222"/>
      <c r="D351" s="223"/>
      <c r="E351" s="222"/>
      <c r="F351" s="222">
        <v>1</v>
      </c>
      <c r="G351" s="223">
        <f t="shared" si="120"/>
        <v>3.497999999999999E-2</v>
      </c>
      <c r="H351" s="223">
        <f t="shared" si="121"/>
        <v>3.497999999999999E-2</v>
      </c>
      <c r="I351" s="222">
        <f t="shared" si="122"/>
        <v>1995</v>
      </c>
      <c r="J351" s="223">
        <f t="shared" si="119"/>
        <v>3.4979999999999983E-2</v>
      </c>
      <c r="K351" s="223">
        <f t="shared" si="123"/>
        <v>69.785099999999971</v>
      </c>
    </row>
    <row r="352" spans="1:11" x14ac:dyDescent="0.25">
      <c r="A352" s="222"/>
      <c r="B352" s="335" t="s">
        <v>549</v>
      </c>
      <c r="C352" s="222"/>
      <c r="D352" s="223"/>
      <c r="E352" s="222"/>
      <c r="F352" s="222">
        <v>1</v>
      </c>
      <c r="G352" s="223">
        <f t="shared" si="120"/>
        <v>3.4979999999999983E-2</v>
      </c>
      <c r="H352" s="223">
        <f t="shared" si="121"/>
        <v>3.4979999999999983E-2</v>
      </c>
      <c r="I352" s="222">
        <f t="shared" si="122"/>
        <v>1994</v>
      </c>
      <c r="J352" s="223">
        <f t="shared" si="119"/>
        <v>3.4979999999999983E-2</v>
      </c>
      <c r="K352" s="223">
        <f t="shared" si="123"/>
        <v>69.750119999999967</v>
      </c>
    </row>
    <row r="353" spans="1:11" x14ac:dyDescent="0.25">
      <c r="A353" s="222"/>
      <c r="B353" s="309" t="s">
        <v>566</v>
      </c>
      <c r="C353" s="222"/>
      <c r="D353" s="223"/>
      <c r="E353" s="222"/>
      <c r="F353" s="222">
        <v>1</v>
      </c>
      <c r="G353" s="223">
        <f t="shared" si="120"/>
        <v>3.4979999999999983E-2</v>
      </c>
      <c r="H353" s="223">
        <f t="shared" si="121"/>
        <v>3.4979999999999983E-2</v>
      </c>
      <c r="I353" s="222">
        <f t="shared" si="122"/>
        <v>1993</v>
      </c>
      <c r="J353" s="223">
        <f t="shared" si="119"/>
        <v>3.4979999999999983E-2</v>
      </c>
      <c r="K353" s="223">
        <f t="shared" si="123"/>
        <v>69.715139999999963</v>
      </c>
    </row>
    <row r="354" spans="1:11" ht="30" x14ac:dyDescent="0.25">
      <c r="A354" s="222"/>
      <c r="B354" s="309" t="s">
        <v>574</v>
      </c>
      <c r="C354" s="222"/>
      <c r="D354" s="223"/>
      <c r="E354" s="222"/>
      <c r="F354" s="222">
        <v>1</v>
      </c>
      <c r="G354" s="223">
        <f t="shared" si="120"/>
        <v>3.4979999999999983E-2</v>
      </c>
      <c r="H354" s="223">
        <f t="shared" si="121"/>
        <v>3.4979999999999983E-2</v>
      </c>
      <c r="I354" s="222">
        <f t="shared" si="122"/>
        <v>1992</v>
      </c>
      <c r="J354" s="223">
        <f t="shared" si="119"/>
        <v>3.4979999999999976E-2</v>
      </c>
      <c r="K354" s="223">
        <f t="shared" si="123"/>
        <v>69.680159999999958</v>
      </c>
    </row>
    <row r="355" spans="1:11" ht="30" x14ac:dyDescent="0.25">
      <c r="A355" s="222"/>
      <c r="B355" s="309" t="s">
        <v>578</v>
      </c>
      <c r="C355" s="222"/>
      <c r="D355" s="223"/>
      <c r="E355" s="222"/>
      <c r="F355" s="222">
        <v>1</v>
      </c>
      <c r="G355" s="223">
        <f t="shared" ref="G355" si="124">+J354</f>
        <v>3.4979999999999976E-2</v>
      </c>
      <c r="H355" s="223">
        <f t="shared" ref="H355" si="125">+G355*F355</f>
        <v>3.4979999999999976E-2</v>
      </c>
      <c r="I355" s="222">
        <f t="shared" ref="I355" si="126">+I354-F355</f>
        <v>1991</v>
      </c>
      <c r="J355" s="223">
        <f t="shared" ref="J355" si="127">+K355/I355</f>
        <v>3.4979999999999976E-2</v>
      </c>
      <c r="K355" s="223">
        <f t="shared" ref="K355" si="128">+K354-H355</f>
        <v>69.645179999999954</v>
      </c>
    </row>
    <row r="356" spans="1:11" x14ac:dyDescent="0.25">
      <c r="A356" s="222"/>
      <c r="B356" s="335" t="s">
        <v>583</v>
      </c>
      <c r="C356" s="222"/>
      <c r="D356" s="223"/>
      <c r="E356" s="222"/>
      <c r="F356" s="222">
        <v>1</v>
      </c>
      <c r="G356" s="223">
        <f t="shared" ref="G356" si="129">+J355</f>
        <v>3.4979999999999976E-2</v>
      </c>
      <c r="H356" s="223">
        <f t="shared" ref="H356" si="130">+G356*F356</f>
        <v>3.4979999999999976E-2</v>
      </c>
      <c r="I356" s="222">
        <f t="shared" ref="I356" si="131">+I355-F356</f>
        <v>1990</v>
      </c>
      <c r="J356" s="223">
        <f t="shared" ref="J356" si="132">+K356/I356</f>
        <v>3.4979999999999976E-2</v>
      </c>
      <c r="K356" s="223">
        <f t="shared" ref="K356" si="133">+K355-H356</f>
        <v>69.610199999999949</v>
      </c>
    </row>
    <row r="357" spans="1:11" x14ac:dyDescent="0.25">
      <c r="A357" s="222"/>
      <c r="B357" s="309" t="s">
        <v>607</v>
      </c>
      <c r="C357" s="222"/>
      <c r="D357" s="223"/>
      <c r="E357" s="222"/>
      <c r="F357" s="222">
        <v>1</v>
      </c>
      <c r="G357" s="223">
        <f t="shared" ref="G357" si="134">+J356</f>
        <v>3.4979999999999976E-2</v>
      </c>
      <c r="H357" s="223">
        <f t="shared" ref="H357" si="135">+G357*F357</f>
        <v>3.4979999999999976E-2</v>
      </c>
      <c r="I357" s="222">
        <f t="shared" ref="I357" si="136">+I356-F357</f>
        <v>1989</v>
      </c>
      <c r="J357" s="223">
        <f t="shared" ref="J357" si="137">+K357/I357</f>
        <v>3.4979999999999969E-2</v>
      </c>
      <c r="K357" s="223">
        <f t="shared" ref="K357" si="138">+K356-H357</f>
        <v>69.575219999999945</v>
      </c>
    </row>
    <row r="358" spans="1:11" x14ac:dyDescent="0.25">
      <c r="A358" s="1"/>
      <c r="B358" s="336"/>
      <c r="C358" s="1"/>
      <c r="D358" s="34"/>
      <c r="E358" s="1"/>
      <c r="F358" s="1"/>
      <c r="G358" s="34"/>
      <c r="H358" s="34"/>
      <c r="I358" s="1"/>
      <c r="J358" s="34"/>
      <c r="K358" s="1"/>
    </row>
    <row r="359" spans="1:11" x14ac:dyDescent="0.25">
      <c r="B359" s="343"/>
    </row>
    <row r="361" spans="1:11" ht="15.75" x14ac:dyDescent="0.25">
      <c r="A361" s="456" t="s">
        <v>10</v>
      </c>
      <c r="B361" s="456"/>
      <c r="C361" s="456"/>
      <c r="D361" s="456"/>
      <c r="E361" s="456"/>
      <c r="F361" s="456"/>
      <c r="G361" s="456"/>
      <c r="H361" s="456"/>
      <c r="I361" s="456"/>
      <c r="J361" s="456"/>
      <c r="K361" s="456"/>
    </row>
    <row r="362" spans="1:11" ht="15.75" x14ac:dyDescent="0.25">
      <c r="A362" s="456" t="s">
        <v>11</v>
      </c>
      <c r="B362" s="456"/>
      <c r="C362" s="456"/>
      <c r="D362" s="456"/>
      <c r="E362" s="456"/>
      <c r="F362" s="456"/>
      <c r="G362" s="456"/>
      <c r="H362" s="456"/>
      <c r="I362" s="456"/>
      <c r="J362" s="456"/>
      <c r="K362" s="456"/>
    </row>
    <row r="363" spans="1:11" x14ac:dyDescent="0.25">
      <c r="A363" s="2" t="s">
        <v>8</v>
      </c>
      <c r="B363" s="465" t="s">
        <v>98</v>
      </c>
      <c r="C363" s="466"/>
      <c r="D363" s="466"/>
      <c r="E363" s="467"/>
      <c r="F363" s="9" t="s">
        <v>48</v>
      </c>
      <c r="G363" s="468" t="s">
        <v>49</v>
      </c>
      <c r="H363" s="469"/>
      <c r="I363" s="469"/>
      <c r="J363" s="469"/>
      <c r="K363" s="470"/>
    </row>
    <row r="364" spans="1:11" x14ac:dyDescent="0.25">
      <c r="A364" s="4" t="s">
        <v>9</v>
      </c>
      <c r="B364" s="471" t="s">
        <v>66</v>
      </c>
      <c r="C364" s="471"/>
      <c r="D364" s="471"/>
      <c r="E364" s="471"/>
      <c r="F364" s="11" t="s">
        <v>50</v>
      </c>
      <c r="G364" s="471" t="s">
        <v>73</v>
      </c>
      <c r="H364" s="471"/>
      <c r="I364" s="471"/>
      <c r="J364" s="471"/>
      <c r="K364" s="471"/>
    </row>
    <row r="365" spans="1:11" x14ac:dyDescent="0.25">
      <c r="A365" s="464" t="s">
        <v>0</v>
      </c>
      <c r="B365" s="464" t="s">
        <v>1</v>
      </c>
      <c r="C365" s="464" t="s">
        <v>2</v>
      </c>
      <c r="D365" s="464"/>
      <c r="E365" s="464"/>
      <c r="F365" s="464" t="s">
        <v>3</v>
      </c>
      <c r="G365" s="464"/>
      <c r="H365" s="464"/>
      <c r="I365" s="464" t="s">
        <v>4</v>
      </c>
      <c r="J365" s="464"/>
      <c r="K365" s="464"/>
    </row>
    <row r="366" spans="1:11" x14ac:dyDescent="0.25">
      <c r="A366" s="464"/>
      <c r="B366" s="464"/>
      <c r="C366" s="2" t="s">
        <v>5</v>
      </c>
      <c r="D366" s="3" t="s">
        <v>6</v>
      </c>
      <c r="E366" s="2" t="s">
        <v>7</v>
      </c>
      <c r="F366" s="2" t="s">
        <v>5</v>
      </c>
      <c r="G366" s="3" t="s">
        <v>6</v>
      </c>
      <c r="H366" s="3" t="s">
        <v>7</v>
      </c>
      <c r="I366" s="2" t="s">
        <v>5</v>
      </c>
      <c r="J366" s="3" t="s">
        <v>6</v>
      </c>
      <c r="K366" s="2" t="s">
        <v>7</v>
      </c>
    </row>
    <row r="367" spans="1:11" x14ac:dyDescent="0.25">
      <c r="A367" s="1"/>
      <c r="B367" s="1" t="s">
        <v>42</v>
      </c>
      <c r="C367" s="1"/>
      <c r="D367" s="34"/>
      <c r="E367" s="1"/>
      <c r="F367" s="1"/>
      <c r="G367" s="34"/>
      <c r="H367" s="34"/>
      <c r="I367" s="1">
        <v>0</v>
      </c>
      <c r="J367" s="34">
        <v>0</v>
      </c>
      <c r="K367" s="1">
        <v>0</v>
      </c>
    </row>
    <row r="368" spans="1:11" ht="15.75" x14ac:dyDescent="0.25">
      <c r="A368" s="7">
        <v>42009</v>
      </c>
      <c r="B368" s="8" t="s">
        <v>43</v>
      </c>
      <c r="C368" s="6">
        <v>2000</v>
      </c>
      <c r="D368" s="27">
        <f>+E368/C368</f>
        <v>2.886E-2</v>
      </c>
      <c r="E368" s="8">
        <v>57.72</v>
      </c>
      <c r="F368" s="8"/>
      <c r="G368" s="27"/>
      <c r="H368" s="27"/>
      <c r="I368" s="6">
        <f>+I367+C368</f>
        <v>2000</v>
      </c>
      <c r="J368" s="27">
        <f t="shared" ref="J368:J376" si="139">+K368/I368</f>
        <v>2.886E-2</v>
      </c>
      <c r="K368" s="8">
        <f>+K367+E368</f>
        <v>57.72</v>
      </c>
    </row>
    <row r="369" spans="1:11" ht="15.75" x14ac:dyDescent="0.25">
      <c r="A369" s="122">
        <v>42297</v>
      </c>
      <c r="B369" s="107" t="s">
        <v>363</v>
      </c>
      <c r="C369" s="68"/>
      <c r="D369" s="69"/>
      <c r="E369" s="68"/>
      <c r="F369" s="68">
        <v>1</v>
      </c>
      <c r="G369" s="69">
        <f t="shared" ref="G369:G376" si="140">+J368</f>
        <v>2.886E-2</v>
      </c>
      <c r="H369" s="69">
        <f t="shared" ref="H369:H376" si="141">+G369*F369</f>
        <v>2.886E-2</v>
      </c>
      <c r="I369" s="68">
        <f t="shared" ref="I369:I376" si="142">+I368-F369</f>
        <v>1999</v>
      </c>
      <c r="J369" s="69">
        <f t="shared" si="139"/>
        <v>2.886E-2</v>
      </c>
      <c r="K369" s="69">
        <f t="shared" ref="K369:K376" si="143">+K368-H369</f>
        <v>57.691139999999997</v>
      </c>
    </row>
    <row r="370" spans="1:11" ht="15.75" x14ac:dyDescent="0.25">
      <c r="A370" s="122">
        <v>42304</v>
      </c>
      <c r="B370" s="107" t="s">
        <v>390</v>
      </c>
      <c r="C370" s="68"/>
      <c r="D370" s="69"/>
      <c r="E370" s="68"/>
      <c r="F370" s="68">
        <v>1</v>
      </c>
      <c r="G370" s="69">
        <f t="shared" si="140"/>
        <v>2.886E-2</v>
      </c>
      <c r="H370" s="69">
        <f t="shared" si="141"/>
        <v>2.886E-2</v>
      </c>
      <c r="I370" s="68">
        <f t="shared" si="142"/>
        <v>1998</v>
      </c>
      <c r="J370" s="69">
        <f t="shared" si="139"/>
        <v>2.8859999999999997E-2</v>
      </c>
      <c r="K370" s="69">
        <f t="shared" si="143"/>
        <v>57.662279999999996</v>
      </c>
    </row>
    <row r="371" spans="1:11" ht="31.5" customHeight="1" x14ac:dyDescent="0.25">
      <c r="A371" s="307"/>
      <c r="B371" s="309" t="s">
        <v>538</v>
      </c>
      <c r="C371" s="222"/>
      <c r="D371" s="223"/>
      <c r="E371" s="222"/>
      <c r="F371" s="222">
        <v>1</v>
      </c>
      <c r="G371" s="223">
        <f t="shared" si="140"/>
        <v>2.8859999999999997E-2</v>
      </c>
      <c r="H371" s="223">
        <f t="shared" si="141"/>
        <v>2.8859999999999997E-2</v>
      </c>
      <c r="I371" s="222">
        <f t="shared" si="142"/>
        <v>1997</v>
      </c>
      <c r="J371" s="223">
        <f t="shared" si="139"/>
        <v>2.8859999999999997E-2</v>
      </c>
      <c r="K371" s="223">
        <f t="shared" si="143"/>
        <v>57.633419999999994</v>
      </c>
    </row>
    <row r="372" spans="1:11" x14ac:dyDescent="0.25">
      <c r="A372" s="307"/>
      <c r="B372" s="309" t="s">
        <v>542</v>
      </c>
      <c r="C372" s="222"/>
      <c r="D372" s="223"/>
      <c r="E372" s="222"/>
      <c r="F372" s="222">
        <v>1</v>
      </c>
      <c r="G372" s="223">
        <f t="shared" si="140"/>
        <v>2.8859999999999997E-2</v>
      </c>
      <c r="H372" s="223">
        <f t="shared" si="141"/>
        <v>2.8859999999999997E-2</v>
      </c>
      <c r="I372" s="222">
        <f t="shared" si="142"/>
        <v>1996</v>
      </c>
      <c r="J372" s="223">
        <f t="shared" si="139"/>
        <v>2.8859999999999997E-2</v>
      </c>
      <c r="K372" s="223">
        <f t="shared" si="143"/>
        <v>57.604559999999992</v>
      </c>
    </row>
    <row r="373" spans="1:11" x14ac:dyDescent="0.25">
      <c r="A373" s="222"/>
      <c r="B373" s="335" t="s">
        <v>546</v>
      </c>
      <c r="C373" s="222"/>
      <c r="D373" s="223"/>
      <c r="E373" s="222"/>
      <c r="F373" s="222">
        <v>1</v>
      </c>
      <c r="G373" s="223">
        <f t="shared" si="140"/>
        <v>2.8859999999999997E-2</v>
      </c>
      <c r="H373" s="223">
        <f t="shared" si="141"/>
        <v>2.8859999999999997E-2</v>
      </c>
      <c r="I373" s="222">
        <f t="shared" si="142"/>
        <v>1995</v>
      </c>
      <c r="J373" s="223">
        <f t="shared" si="139"/>
        <v>2.8859999999999997E-2</v>
      </c>
      <c r="K373" s="223">
        <f t="shared" si="143"/>
        <v>57.575699999999991</v>
      </c>
    </row>
    <row r="374" spans="1:11" x14ac:dyDescent="0.25">
      <c r="A374" s="222"/>
      <c r="B374" s="335" t="s">
        <v>549</v>
      </c>
      <c r="C374" s="222"/>
      <c r="D374" s="223"/>
      <c r="E374" s="222"/>
      <c r="F374" s="222">
        <v>1</v>
      </c>
      <c r="G374" s="223">
        <f t="shared" si="140"/>
        <v>2.8859999999999997E-2</v>
      </c>
      <c r="H374" s="223">
        <f t="shared" si="141"/>
        <v>2.8859999999999997E-2</v>
      </c>
      <c r="I374" s="222">
        <f t="shared" si="142"/>
        <v>1994</v>
      </c>
      <c r="J374" s="223">
        <f t="shared" si="139"/>
        <v>2.8859999999999993E-2</v>
      </c>
      <c r="K374" s="223">
        <f t="shared" si="143"/>
        <v>57.546839999999989</v>
      </c>
    </row>
    <row r="375" spans="1:11" x14ac:dyDescent="0.25">
      <c r="A375" s="222"/>
      <c r="B375" s="309" t="s">
        <v>566</v>
      </c>
      <c r="C375" s="222"/>
      <c r="D375" s="223"/>
      <c r="E375" s="222"/>
      <c r="F375" s="222">
        <v>1</v>
      </c>
      <c r="G375" s="223">
        <f t="shared" si="140"/>
        <v>2.8859999999999993E-2</v>
      </c>
      <c r="H375" s="223">
        <f t="shared" si="141"/>
        <v>2.8859999999999993E-2</v>
      </c>
      <c r="I375" s="222">
        <f t="shared" si="142"/>
        <v>1993</v>
      </c>
      <c r="J375" s="223">
        <f t="shared" si="139"/>
        <v>2.8859999999999993E-2</v>
      </c>
      <c r="K375" s="223">
        <f t="shared" si="143"/>
        <v>57.517979999999987</v>
      </c>
    </row>
    <row r="376" spans="1:11" ht="30" x14ac:dyDescent="0.25">
      <c r="A376" s="222"/>
      <c r="B376" s="309" t="s">
        <v>574</v>
      </c>
      <c r="C376" s="222"/>
      <c r="D376" s="223"/>
      <c r="E376" s="222"/>
      <c r="F376" s="222">
        <v>1</v>
      </c>
      <c r="G376" s="223">
        <f t="shared" si="140"/>
        <v>2.8859999999999993E-2</v>
      </c>
      <c r="H376" s="223">
        <f t="shared" si="141"/>
        <v>2.8859999999999993E-2</v>
      </c>
      <c r="I376" s="222">
        <f t="shared" si="142"/>
        <v>1992</v>
      </c>
      <c r="J376" s="223">
        <f t="shared" si="139"/>
        <v>2.8859999999999993E-2</v>
      </c>
      <c r="K376" s="223">
        <f t="shared" si="143"/>
        <v>57.489119999999986</v>
      </c>
    </row>
    <row r="377" spans="1:11" ht="30" x14ac:dyDescent="0.25">
      <c r="A377" s="222"/>
      <c r="B377" s="309" t="s">
        <v>578</v>
      </c>
      <c r="C377" s="222"/>
      <c r="D377" s="223"/>
      <c r="E377" s="222"/>
      <c r="F377" s="222">
        <v>1</v>
      </c>
      <c r="G377" s="223">
        <f t="shared" ref="G377" si="144">+J376</f>
        <v>2.8859999999999993E-2</v>
      </c>
      <c r="H377" s="223">
        <f t="shared" ref="H377" si="145">+G377*F377</f>
        <v>2.8859999999999993E-2</v>
      </c>
      <c r="I377" s="222">
        <f t="shared" ref="I377" si="146">+I376-F377</f>
        <v>1991</v>
      </c>
      <c r="J377" s="223">
        <f t="shared" ref="J377" si="147">+K377/I377</f>
        <v>2.8859999999999993E-2</v>
      </c>
      <c r="K377" s="223">
        <f t="shared" ref="K377" si="148">+K376-H377</f>
        <v>57.460259999999984</v>
      </c>
    </row>
    <row r="378" spans="1:11" x14ac:dyDescent="0.25">
      <c r="A378" s="222"/>
      <c r="B378" s="335" t="s">
        <v>583</v>
      </c>
      <c r="C378" s="222"/>
      <c r="D378" s="223"/>
      <c r="E378" s="222"/>
      <c r="F378" s="222">
        <v>1</v>
      </c>
      <c r="G378" s="223">
        <f t="shared" ref="G378" si="149">+J377</f>
        <v>2.8859999999999993E-2</v>
      </c>
      <c r="H378" s="223">
        <f t="shared" ref="H378" si="150">+G378*F378</f>
        <v>2.8859999999999993E-2</v>
      </c>
      <c r="I378" s="222">
        <f t="shared" ref="I378" si="151">+I377-F378</f>
        <v>1990</v>
      </c>
      <c r="J378" s="223">
        <f t="shared" ref="J378" si="152">+K378/I378</f>
        <v>2.885999999999999E-2</v>
      </c>
      <c r="K378" s="223">
        <f t="shared" ref="K378" si="153">+K377-H378</f>
        <v>57.431399999999982</v>
      </c>
    </row>
    <row r="379" spans="1:11" x14ac:dyDescent="0.25">
      <c r="A379" s="222"/>
      <c r="B379" s="309" t="s">
        <v>607</v>
      </c>
      <c r="C379" s="222"/>
      <c r="D379" s="223"/>
      <c r="E379" s="222"/>
      <c r="F379" s="222">
        <v>1</v>
      </c>
      <c r="G379" s="223">
        <f t="shared" ref="G379" si="154">+J378</f>
        <v>2.885999999999999E-2</v>
      </c>
      <c r="H379" s="223">
        <f t="shared" ref="H379" si="155">+G379*F379</f>
        <v>2.885999999999999E-2</v>
      </c>
      <c r="I379" s="222">
        <f t="shared" ref="I379" si="156">+I378-F379</f>
        <v>1989</v>
      </c>
      <c r="J379" s="223">
        <f t="shared" ref="J379" si="157">+K379/I379</f>
        <v>2.885999999999999E-2</v>
      </c>
      <c r="K379" s="223">
        <f t="shared" ref="K379" si="158">+K378-H379</f>
        <v>57.402539999999981</v>
      </c>
    </row>
    <row r="380" spans="1:11" x14ac:dyDescent="0.25">
      <c r="A380" s="2"/>
      <c r="B380" s="336"/>
      <c r="C380" s="2"/>
      <c r="D380" s="3"/>
      <c r="E380" s="2"/>
      <c r="F380" s="2"/>
      <c r="G380" s="3"/>
      <c r="H380" s="3"/>
      <c r="I380" s="2"/>
      <c r="J380" s="3"/>
      <c r="K380" s="3"/>
    </row>
    <row r="381" spans="1:11" x14ac:dyDescent="0.25">
      <c r="A381" s="2"/>
      <c r="B381" s="336"/>
      <c r="C381" s="2"/>
      <c r="D381" s="3"/>
      <c r="E381" s="2"/>
      <c r="F381" s="2"/>
      <c r="G381" s="3"/>
      <c r="H381" s="3"/>
      <c r="I381" s="2"/>
      <c r="J381" s="3"/>
      <c r="K381" s="3"/>
    </row>
    <row r="382" spans="1:11" x14ac:dyDescent="0.25">
      <c r="A382" s="29"/>
      <c r="B382" s="343"/>
      <c r="C382" s="29"/>
      <c r="D382" s="30"/>
      <c r="E382" s="29"/>
      <c r="F382" s="29"/>
      <c r="G382" s="30"/>
      <c r="H382" s="30"/>
      <c r="I382" s="29"/>
      <c r="J382" s="30"/>
      <c r="K382" s="30"/>
    </row>
    <row r="383" spans="1:11" x14ac:dyDescent="0.25">
      <c r="A383" s="29"/>
      <c r="B383" s="343"/>
      <c r="C383" s="29"/>
      <c r="D383" s="30"/>
      <c r="E383" s="29"/>
      <c r="F383" s="29"/>
      <c r="G383" s="30"/>
      <c r="H383" s="30"/>
      <c r="I383" s="29"/>
      <c r="J383" s="30"/>
      <c r="K383" s="30"/>
    </row>
    <row r="386" spans="1:11" ht="15.75" x14ac:dyDescent="0.25">
      <c r="A386" s="456" t="s">
        <v>10</v>
      </c>
      <c r="B386" s="456"/>
      <c r="C386" s="456"/>
      <c r="D386" s="456"/>
      <c r="E386" s="456"/>
      <c r="F386" s="456"/>
      <c r="G386" s="456"/>
      <c r="H386" s="456"/>
      <c r="I386" s="456"/>
      <c r="J386" s="456"/>
      <c r="K386" s="456"/>
    </row>
    <row r="387" spans="1:11" ht="15.75" x14ac:dyDescent="0.25">
      <c r="A387" s="456" t="s">
        <v>11</v>
      </c>
      <c r="B387" s="456"/>
      <c r="C387" s="456"/>
      <c r="D387" s="456"/>
      <c r="E387" s="456"/>
      <c r="F387" s="456"/>
      <c r="G387" s="456"/>
      <c r="H387" s="456"/>
      <c r="I387" s="456"/>
      <c r="J387" s="456"/>
      <c r="K387" s="456"/>
    </row>
    <row r="388" spans="1:11" x14ac:dyDescent="0.25">
      <c r="A388" s="2" t="s">
        <v>8</v>
      </c>
      <c r="B388" s="465" t="s">
        <v>99</v>
      </c>
      <c r="C388" s="466"/>
      <c r="D388" s="466"/>
      <c r="E388" s="467"/>
      <c r="F388" s="9" t="s">
        <v>48</v>
      </c>
      <c r="G388" s="468" t="s">
        <v>49</v>
      </c>
      <c r="H388" s="469"/>
      <c r="I388" s="469"/>
      <c r="J388" s="469"/>
      <c r="K388" s="470"/>
    </row>
    <row r="389" spans="1:11" x14ac:dyDescent="0.25">
      <c r="A389" s="4" t="s">
        <v>9</v>
      </c>
      <c r="B389" s="471" t="s">
        <v>66</v>
      </c>
      <c r="C389" s="471"/>
      <c r="D389" s="471"/>
      <c r="E389" s="471"/>
      <c r="F389" s="11" t="s">
        <v>50</v>
      </c>
      <c r="G389" s="471" t="s">
        <v>73</v>
      </c>
      <c r="H389" s="471"/>
      <c r="I389" s="471"/>
      <c r="J389" s="471"/>
      <c r="K389" s="471"/>
    </row>
    <row r="390" spans="1:11" x14ac:dyDescent="0.25">
      <c r="A390" s="464" t="s">
        <v>0</v>
      </c>
      <c r="B390" s="464" t="s">
        <v>1</v>
      </c>
      <c r="C390" s="464" t="s">
        <v>2</v>
      </c>
      <c r="D390" s="464"/>
      <c r="E390" s="464"/>
      <c r="F390" s="464" t="s">
        <v>3</v>
      </c>
      <c r="G390" s="464"/>
      <c r="H390" s="464"/>
      <c r="I390" s="464" t="s">
        <v>4</v>
      </c>
      <c r="J390" s="464"/>
      <c r="K390" s="464"/>
    </row>
    <row r="391" spans="1:11" x14ac:dyDescent="0.25">
      <c r="A391" s="464"/>
      <c r="B391" s="464"/>
      <c r="C391" s="2" t="s">
        <v>5</v>
      </c>
      <c r="D391" s="3" t="s">
        <v>6</v>
      </c>
      <c r="E391" s="2" t="s">
        <v>7</v>
      </c>
      <c r="F391" s="2" t="s">
        <v>5</v>
      </c>
      <c r="G391" s="3" t="s">
        <v>6</v>
      </c>
      <c r="H391" s="3" t="s">
        <v>7</v>
      </c>
      <c r="I391" s="2" t="s">
        <v>5</v>
      </c>
      <c r="J391" s="3" t="s">
        <v>6</v>
      </c>
      <c r="K391" s="2" t="s">
        <v>7</v>
      </c>
    </row>
    <row r="392" spans="1:11" x14ac:dyDescent="0.25">
      <c r="A392" s="1"/>
      <c r="B392" s="1" t="s">
        <v>42</v>
      </c>
      <c r="C392" s="1"/>
      <c r="D392" s="34"/>
      <c r="E392" s="1"/>
      <c r="F392" s="1"/>
      <c r="G392" s="34"/>
      <c r="H392" s="34"/>
      <c r="I392" s="1">
        <v>0</v>
      </c>
      <c r="J392" s="34">
        <v>0</v>
      </c>
      <c r="K392" s="1">
        <v>0</v>
      </c>
    </row>
    <row r="393" spans="1:11" ht="15.75" x14ac:dyDescent="0.25">
      <c r="A393" s="7">
        <v>42009</v>
      </c>
      <c r="B393" s="8" t="s">
        <v>43</v>
      </c>
      <c r="C393" s="6">
        <v>2000</v>
      </c>
      <c r="D393" s="27">
        <f>+E393/C393</f>
        <v>3.7999999999999999E-2</v>
      </c>
      <c r="E393" s="8">
        <v>76</v>
      </c>
      <c r="F393" s="8"/>
      <c r="G393" s="27"/>
      <c r="H393" s="27"/>
      <c r="I393" s="6">
        <f>+I392+C393</f>
        <v>2000</v>
      </c>
      <c r="J393" s="27">
        <f t="shared" ref="J393:J401" si="159">+K393/I393</f>
        <v>3.7999999999999999E-2</v>
      </c>
      <c r="K393" s="8">
        <f>+K392+E393</f>
        <v>76</v>
      </c>
    </row>
    <row r="394" spans="1:11" ht="15.75" x14ac:dyDescent="0.25">
      <c r="A394" s="122">
        <v>42297</v>
      </c>
      <c r="B394" s="107" t="s">
        <v>363</v>
      </c>
      <c r="C394" s="68"/>
      <c r="D394" s="69"/>
      <c r="E394" s="68"/>
      <c r="F394" s="68">
        <v>1.5</v>
      </c>
      <c r="G394" s="69">
        <f t="shared" ref="G394:G401" si="160">+J393</f>
        <v>3.7999999999999999E-2</v>
      </c>
      <c r="H394" s="69">
        <f t="shared" ref="H394:H401" si="161">+G394*F394</f>
        <v>5.6999999999999995E-2</v>
      </c>
      <c r="I394" s="68">
        <f t="shared" ref="I394:I401" si="162">+I393-F394</f>
        <v>1998.5</v>
      </c>
      <c r="J394" s="69">
        <f t="shared" si="159"/>
        <v>3.7999999999999999E-2</v>
      </c>
      <c r="K394" s="69">
        <f t="shared" ref="K394:K401" si="163">+K393-H394</f>
        <v>75.942999999999998</v>
      </c>
    </row>
    <row r="395" spans="1:11" ht="15.75" x14ac:dyDescent="0.25">
      <c r="A395" s="122">
        <v>42304</v>
      </c>
      <c r="B395" s="107" t="s">
        <v>390</v>
      </c>
      <c r="C395" s="68"/>
      <c r="D395" s="69"/>
      <c r="E395" s="68"/>
      <c r="F395" s="68">
        <v>1.5</v>
      </c>
      <c r="G395" s="69">
        <f t="shared" si="160"/>
        <v>3.7999999999999999E-2</v>
      </c>
      <c r="H395" s="69">
        <f t="shared" si="161"/>
        <v>5.6999999999999995E-2</v>
      </c>
      <c r="I395" s="68">
        <f t="shared" si="162"/>
        <v>1997</v>
      </c>
      <c r="J395" s="69">
        <f t="shared" si="159"/>
        <v>3.7999999999999999E-2</v>
      </c>
      <c r="K395" s="69">
        <f t="shared" si="163"/>
        <v>75.885999999999996</v>
      </c>
    </row>
    <row r="396" spans="1:11" ht="30" customHeight="1" x14ac:dyDescent="0.25">
      <c r="A396" s="307"/>
      <c r="B396" s="309" t="s">
        <v>538</v>
      </c>
      <c r="C396" s="222"/>
      <c r="D396" s="223"/>
      <c r="E396" s="222"/>
      <c r="F396" s="222">
        <v>1.5</v>
      </c>
      <c r="G396" s="223">
        <f t="shared" si="160"/>
        <v>3.7999999999999999E-2</v>
      </c>
      <c r="H396" s="223">
        <f t="shared" si="161"/>
        <v>5.6999999999999995E-2</v>
      </c>
      <c r="I396" s="222">
        <f t="shared" si="162"/>
        <v>1995.5</v>
      </c>
      <c r="J396" s="223">
        <f t="shared" si="159"/>
        <v>3.7999999999999999E-2</v>
      </c>
      <c r="K396" s="223">
        <f t="shared" si="163"/>
        <v>75.828999999999994</v>
      </c>
    </row>
    <row r="397" spans="1:11" ht="21" customHeight="1" x14ac:dyDescent="0.25">
      <c r="A397" s="307"/>
      <c r="B397" s="309" t="s">
        <v>542</v>
      </c>
      <c r="C397" s="222"/>
      <c r="D397" s="223"/>
      <c r="E397" s="222"/>
      <c r="F397" s="222">
        <v>1.5</v>
      </c>
      <c r="G397" s="223">
        <f t="shared" si="160"/>
        <v>3.7999999999999999E-2</v>
      </c>
      <c r="H397" s="223">
        <f t="shared" si="161"/>
        <v>5.6999999999999995E-2</v>
      </c>
      <c r="I397" s="222">
        <f t="shared" si="162"/>
        <v>1994</v>
      </c>
      <c r="J397" s="223">
        <f t="shared" si="159"/>
        <v>3.7999999999999999E-2</v>
      </c>
      <c r="K397" s="223">
        <f t="shared" si="163"/>
        <v>75.771999999999991</v>
      </c>
    </row>
    <row r="398" spans="1:11" ht="21" customHeight="1" x14ac:dyDescent="0.25">
      <c r="A398" s="307"/>
      <c r="B398" s="335" t="s">
        <v>546</v>
      </c>
      <c r="C398" s="222"/>
      <c r="D398" s="223"/>
      <c r="E398" s="222"/>
      <c r="F398" s="222">
        <v>1.5</v>
      </c>
      <c r="G398" s="223">
        <f t="shared" si="160"/>
        <v>3.7999999999999999E-2</v>
      </c>
      <c r="H398" s="223">
        <f t="shared" si="161"/>
        <v>5.6999999999999995E-2</v>
      </c>
      <c r="I398" s="222">
        <f t="shared" si="162"/>
        <v>1992.5</v>
      </c>
      <c r="J398" s="223">
        <f t="shared" si="159"/>
        <v>3.7999999999999992E-2</v>
      </c>
      <c r="K398" s="223">
        <f t="shared" si="163"/>
        <v>75.714999999999989</v>
      </c>
    </row>
    <row r="399" spans="1:11" ht="21" customHeight="1" x14ac:dyDescent="0.25">
      <c r="A399" s="307"/>
      <c r="B399" s="335" t="s">
        <v>549</v>
      </c>
      <c r="C399" s="222"/>
      <c r="D399" s="223"/>
      <c r="E399" s="222"/>
      <c r="F399" s="222">
        <v>1.5</v>
      </c>
      <c r="G399" s="223">
        <f t="shared" si="160"/>
        <v>3.7999999999999992E-2</v>
      </c>
      <c r="H399" s="223">
        <f t="shared" si="161"/>
        <v>5.6999999999999988E-2</v>
      </c>
      <c r="I399" s="222">
        <f t="shared" si="162"/>
        <v>1991</v>
      </c>
      <c r="J399" s="223">
        <f t="shared" si="159"/>
        <v>3.7999999999999992E-2</v>
      </c>
      <c r="K399" s="223">
        <f t="shared" si="163"/>
        <v>75.657999999999987</v>
      </c>
    </row>
    <row r="400" spans="1:11" ht="30" customHeight="1" x14ac:dyDescent="0.25">
      <c r="A400" s="307"/>
      <c r="B400" s="309" t="s">
        <v>566</v>
      </c>
      <c r="C400" s="222"/>
      <c r="D400" s="223"/>
      <c r="E400" s="222"/>
      <c r="F400" s="222">
        <v>1.5</v>
      </c>
      <c r="G400" s="223">
        <f t="shared" si="160"/>
        <v>3.7999999999999992E-2</v>
      </c>
      <c r="H400" s="223">
        <f t="shared" si="161"/>
        <v>5.6999999999999988E-2</v>
      </c>
      <c r="I400" s="222">
        <f t="shared" si="162"/>
        <v>1989.5</v>
      </c>
      <c r="J400" s="223">
        <f t="shared" si="159"/>
        <v>3.7999999999999992E-2</v>
      </c>
      <c r="K400" s="223">
        <f t="shared" si="163"/>
        <v>75.600999999999985</v>
      </c>
    </row>
    <row r="401" spans="1:11" ht="30" x14ac:dyDescent="0.25">
      <c r="A401" s="307"/>
      <c r="B401" s="309" t="s">
        <v>574</v>
      </c>
      <c r="C401" s="222"/>
      <c r="D401" s="223"/>
      <c r="E401" s="222"/>
      <c r="F401" s="222">
        <v>1.5</v>
      </c>
      <c r="G401" s="223">
        <f t="shared" si="160"/>
        <v>3.7999999999999992E-2</v>
      </c>
      <c r="H401" s="223">
        <f t="shared" si="161"/>
        <v>5.6999999999999988E-2</v>
      </c>
      <c r="I401" s="222">
        <f t="shared" si="162"/>
        <v>1988</v>
      </c>
      <c r="J401" s="223">
        <f t="shared" si="159"/>
        <v>3.7999999999999992E-2</v>
      </c>
      <c r="K401" s="223">
        <f t="shared" si="163"/>
        <v>75.543999999999983</v>
      </c>
    </row>
    <row r="402" spans="1:11" ht="30" x14ac:dyDescent="0.25">
      <c r="A402" s="307"/>
      <c r="B402" s="309" t="s">
        <v>578</v>
      </c>
      <c r="C402" s="222"/>
      <c r="D402" s="223"/>
      <c r="E402" s="222"/>
      <c r="F402" s="222">
        <v>1.5</v>
      </c>
      <c r="G402" s="223">
        <f t="shared" ref="G402" si="164">+J401</f>
        <v>3.7999999999999992E-2</v>
      </c>
      <c r="H402" s="223">
        <f t="shared" ref="H402" si="165">+G402*F402</f>
        <v>5.6999999999999988E-2</v>
      </c>
      <c r="I402" s="222">
        <f t="shared" ref="I402" si="166">+I401-F402</f>
        <v>1986.5</v>
      </c>
      <c r="J402" s="223">
        <f t="shared" ref="J402" si="167">+K402/I402</f>
        <v>3.7999999999999992E-2</v>
      </c>
      <c r="K402" s="223">
        <f t="shared" ref="K402" si="168">+K401-H402</f>
        <v>75.486999999999981</v>
      </c>
    </row>
    <row r="403" spans="1:11" x14ac:dyDescent="0.25">
      <c r="A403" s="307"/>
      <c r="B403" s="335" t="s">
        <v>583</v>
      </c>
      <c r="C403" s="222"/>
      <c r="D403" s="223"/>
      <c r="E403" s="222"/>
      <c r="F403" s="222">
        <v>1.5</v>
      </c>
      <c r="G403" s="223">
        <f t="shared" ref="G403" si="169">+J402</f>
        <v>3.7999999999999992E-2</v>
      </c>
      <c r="H403" s="223">
        <f t="shared" ref="H403" si="170">+G403*F403</f>
        <v>5.6999999999999988E-2</v>
      </c>
      <c r="I403" s="222">
        <f t="shared" ref="I403" si="171">+I402-F403</f>
        <v>1985</v>
      </c>
      <c r="J403" s="223">
        <f t="shared" ref="J403" si="172">+K403/I403</f>
        <v>3.7999999999999992E-2</v>
      </c>
      <c r="K403" s="223">
        <f t="shared" ref="K403" si="173">+K402-H403</f>
        <v>75.429999999999978</v>
      </c>
    </row>
    <row r="404" spans="1:11" x14ac:dyDescent="0.25">
      <c r="A404" s="307"/>
      <c r="B404" s="309" t="s">
        <v>607</v>
      </c>
      <c r="C404" s="222"/>
      <c r="D404" s="223"/>
      <c r="E404" s="222"/>
      <c r="F404" s="222">
        <v>1.5</v>
      </c>
      <c r="G404" s="223">
        <f t="shared" ref="G404" si="174">+J403</f>
        <v>3.7999999999999992E-2</v>
      </c>
      <c r="H404" s="223">
        <f t="shared" ref="H404" si="175">+G404*F404</f>
        <v>5.6999999999999988E-2</v>
      </c>
      <c r="I404" s="222">
        <f t="shared" ref="I404" si="176">+I403-F404</f>
        <v>1983.5</v>
      </c>
      <c r="J404" s="223">
        <f t="shared" ref="J404" si="177">+K404/I404</f>
        <v>3.7999999999999985E-2</v>
      </c>
      <c r="K404" s="223">
        <f t="shared" ref="K404" si="178">+K403-H404</f>
        <v>75.372999999999976</v>
      </c>
    </row>
    <row r="408" spans="1:11" ht="15.75" x14ac:dyDescent="0.25">
      <c r="A408" s="456" t="s">
        <v>10</v>
      </c>
      <c r="B408" s="456"/>
      <c r="C408" s="456"/>
      <c r="D408" s="456"/>
      <c r="E408" s="456"/>
      <c r="F408" s="456"/>
      <c r="G408" s="456"/>
      <c r="H408" s="456"/>
      <c r="I408" s="456"/>
      <c r="J408" s="456"/>
      <c r="K408" s="456"/>
    </row>
    <row r="409" spans="1:11" ht="15.75" x14ac:dyDescent="0.25">
      <c r="A409" s="456" t="s">
        <v>11</v>
      </c>
      <c r="B409" s="456"/>
      <c r="C409" s="456"/>
      <c r="D409" s="456"/>
      <c r="E409" s="456"/>
      <c r="F409" s="456"/>
      <c r="G409" s="456"/>
      <c r="H409" s="456"/>
      <c r="I409" s="456"/>
      <c r="J409" s="456"/>
      <c r="K409" s="456"/>
    </row>
    <row r="410" spans="1:11" x14ac:dyDescent="0.25">
      <c r="A410" s="2" t="s">
        <v>8</v>
      </c>
      <c r="B410" s="465" t="s">
        <v>100</v>
      </c>
      <c r="C410" s="466"/>
      <c r="D410" s="466"/>
      <c r="E410" s="467"/>
      <c r="F410" s="9" t="s">
        <v>48</v>
      </c>
      <c r="G410" s="468" t="s">
        <v>49</v>
      </c>
      <c r="H410" s="469"/>
      <c r="I410" s="469"/>
      <c r="J410" s="469"/>
      <c r="K410" s="470"/>
    </row>
    <row r="411" spans="1:11" x14ac:dyDescent="0.25">
      <c r="A411" s="4" t="s">
        <v>9</v>
      </c>
      <c r="B411" s="471" t="s">
        <v>66</v>
      </c>
      <c r="C411" s="471"/>
      <c r="D411" s="471"/>
      <c r="E411" s="471"/>
      <c r="F411" s="11" t="s">
        <v>50</v>
      </c>
      <c r="G411" s="471" t="s">
        <v>73</v>
      </c>
      <c r="H411" s="471"/>
      <c r="I411" s="471"/>
      <c r="J411" s="471"/>
      <c r="K411" s="471"/>
    </row>
    <row r="412" spans="1:11" x14ac:dyDescent="0.25">
      <c r="A412" s="464" t="s">
        <v>0</v>
      </c>
      <c r="B412" s="464" t="s">
        <v>1</v>
      </c>
      <c r="C412" s="464" t="s">
        <v>2</v>
      </c>
      <c r="D412" s="464"/>
      <c r="E412" s="464"/>
      <c r="F412" s="464" t="s">
        <v>3</v>
      </c>
      <c r="G412" s="464"/>
      <c r="H412" s="464"/>
      <c r="I412" s="464" t="s">
        <v>4</v>
      </c>
      <c r="J412" s="464"/>
      <c r="K412" s="464"/>
    </row>
    <row r="413" spans="1:11" x14ac:dyDescent="0.25">
      <c r="A413" s="464"/>
      <c r="B413" s="464"/>
      <c r="C413" s="2" t="s">
        <v>5</v>
      </c>
      <c r="D413" s="3" t="s">
        <v>6</v>
      </c>
      <c r="E413" s="2" t="s">
        <v>7</v>
      </c>
      <c r="F413" s="2" t="s">
        <v>5</v>
      </c>
      <c r="G413" s="3" t="s">
        <v>6</v>
      </c>
      <c r="H413" s="3" t="s">
        <v>7</v>
      </c>
      <c r="I413" s="2" t="s">
        <v>5</v>
      </c>
      <c r="J413" s="3" t="s">
        <v>6</v>
      </c>
      <c r="K413" s="2" t="s">
        <v>7</v>
      </c>
    </row>
    <row r="414" spans="1:11" x14ac:dyDescent="0.25">
      <c r="A414" s="1"/>
      <c r="B414" s="1" t="s">
        <v>42</v>
      </c>
      <c r="C414" s="1"/>
      <c r="D414" s="34"/>
      <c r="E414" s="1"/>
      <c r="F414" s="1"/>
      <c r="G414" s="34"/>
      <c r="H414" s="34"/>
      <c r="I414" s="1">
        <v>0</v>
      </c>
      <c r="J414" s="34">
        <v>0</v>
      </c>
      <c r="K414" s="1">
        <v>0</v>
      </c>
    </row>
    <row r="415" spans="1:11" ht="15.75" x14ac:dyDescent="0.25">
      <c r="A415" s="7">
        <v>42009</v>
      </c>
      <c r="B415" s="8" t="s">
        <v>43</v>
      </c>
      <c r="C415" s="6">
        <v>2000</v>
      </c>
      <c r="D415" s="27">
        <f>+E415/C415</f>
        <v>5.8799999999999998E-2</v>
      </c>
      <c r="E415" s="8">
        <v>117.6</v>
      </c>
      <c r="F415" s="8"/>
      <c r="G415" s="27"/>
      <c r="H415" s="27"/>
      <c r="I415" s="6">
        <f>+I414+C415</f>
        <v>2000</v>
      </c>
      <c r="J415" s="27">
        <f>+K415/I415</f>
        <v>5.8799999999999998E-2</v>
      </c>
      <c r="K415" s="8">
        <f>+K414+E415</f>
        <v>117.6</v>
      </c>
    </row>
    <row r="416" spans="1:11" ht="15.75" x14ac:dyDescent="0.25">
      <c r="A416" s="122">
        <v>42297</v>
      </c>
      <c r="B416" s="107" t="s">
        <v>363</v>
      </c>
      <c r="C416" s="68"/>
      <c r="D416" s="69"/>
      <c r="E416" s="68"/>
      <c r="F416" s="68">
        <v>2</v>
      </c>
      <c r="G416" s="69">
        <f>+J415</f>
        <v>5.8799999999999998E-2</v>
      </c>
      <c r="H416" s="69">
        <f>+G416*F416</f>
        <v>0.1176</v>
      </c>
      <c r="I416" s="68">
        <f>+I415-F416</f>
        <v>1998</v>
      </c>
      <c r="J416" s="69">
        <f>+K416/I416</f>
        <v>5.8799999999999998E-2</v>
      </c>
      <c r="K416" s="69">
        <f>+K415-H416</f>
        <v>117.4824</v>
      </c>
    </row>
    <row r="417" spans="1:11" ht="15.75" x14ac:dyDescent="0.25">
      <c r="A417" s="122">
        <v>42304</v>
      </c>
      <c r="B417" s="107" t="s">
        <v>390</v>
      </c>
      <c r="C417" s="68"/>
      <c r="D417" s="69"/>
      <c r="E417" s="68"/>
      <c r="F417" s="68">
        <v>2</v>
      </c>
      <c r="G417" s="69">
        <f>+J416</f>
        <v>5.8799999999999998E-2</v>
      </c>
      <c r="H417" s="69">
        <f>+G417*F417</f>
        <v>0.1176</v>
      </c>
      <c r="I417" s="68">
        <f>+I416-F417</f>
        <v>1996</v>
      </c>
      <c r="J417" s="69">
        <f>+K417/I417</f>
        <v>5.8799999999999998E-2</v>
      </c>
      <c r="K417" s="69">
        <f>+K416-H417</f>
        <v>117.3648</v>
      </c>
    </row>
    <row r="418" spans="1:11" x14ac:dyDescent="0.25">
      <c r="A418" s="5"/>
      <c r="B418" s="2"/>
      <c r="C418" s="2"/>
      <c r="D418" s="3"/>
      <c r="E418" s="2"/>
      <c r="F418" s="2"/>
      <c r="G418" s="3"/>
      <c r="H418" s="3"/>
      <c r="I418" s="2"/>
      <c r="J418" s="3"/>
      <c r="K418" s="3"/>
    </row>
    <row r="421" spans="1:11" ht="15.75" x14ac:dyDescent="0.25">
      <c r="A421" s="456" t="s">
        <v>10</v>
      </c>
      <c r="B421" s="456"/>
      <c r="C421" s="456"/>
      <c r="D421" s="456"/>
      <c r="E421" s="456"/>
      <c r="F421" s="456"/>
      <c r="G421" s="456"/>
      <c r="H421" s="456"/>
      <c r="I421" s="456"/>
      <c r="J421" s="456"/>
      <c r="K421" s="456"/>
    </row>
    <row r="422" spans="1:11" ht="15.75" x14ac:dyDescent="0.25">
      <c r="A422" s="456" t="s">
        <v>11</v>
      </c>
      <c r="B422" s="456"/>
      <c r="C422" s="456"/>
      <c r="D422" s="456"/>
      <c r="E422" s="456"/>
      <c r="F422" s="456"/>
      <c r="G422" s="456"/>
      <c r="H422" s="456"/>
      <c r="I422" s="456"/>
      <c r="J422" s="456"/>
      <c r="K422" s="456"/>
    </row>
    <row r="423" spans="1:11" x14ac:dyDescent="0.25">
      <c r="A423" s="2" t="s">
        <v>8</v>
      </c>
      <c r="B423" s="465" t="s">
        <v>101</v>
      </c>
      <c r="C423" s="466"/>
      <c r="D423" s="466"/>
      <c r="E423" s="467"/>
      <c r="F423" s="9" t="s">
        <v>48</v>
      </c>
      <c r="G423" s="468" t="s">
        <v>49</v>
      </c>
      <c r="H423" s="469"/>
      <c r="I423" s="469"/>
      <c r="J423" s="469"/>
      <c r="K423" s="470"/>
    </row>
    <row r="424" spans="1:11" x14ac:dyDescent="0.25">
      <c r="A424" s="4" t="s">
        <v>9</v>
      </c>
      <c r="B424" s="471" t="s">
        <v>66</v>
      </c>
      <c r="C424" s="471"/>
      <c r="D424" s="471"/>
      <c r="E424" s="471"/>
      <c r="F424" s="11" t="s">
        <v>50</v>
      </c>
      <c r="G424" s="471" t="s">
        <v>67</v>
      </c>
      <c r="H424" s="471"/>
      <c r="I424" s="471"/>
      <c r="J424" s="471"/>
      <c r="K424" s="471"/>
    </row>
    <row r="425" spans="1:11" x14ac:dyDescent="0.25">
      <c r="A425" s="464" t="s">
        <v>0</v>
      </c>
      <c r="B425" s="464" t="s">
        <v>1</v>
      </c>
      <c r="C425" s="464" t="s">
        <v>2</v>
      </c>
      <c r="D425" s="464"/>
      <c r="E425" s="464"/>
      <c r="F425" s="464" t="s">
        <v>3</v>
      </c>
      <c r="G425" s="464"/>
      <c r="H425" s="464"/>
      <c r="I425" s="464" t="s">
        <v>4</v>
      </c>
      <c r="J425" s="464"/>
      <c r="K425" s="464"/>
    </row>
    <row r="426" spans="1:11" x14ac:dyDescent="0.25">
      <c r="A426" s="464"/>
      <c r="B426" s="464"/>
      <c r="C426" s="2" t="s">
        <v>5</v>
      </c>
      <c r="D426" s="3" t="s">
        <v>6</v>
      </c>
      <c r="E426" s="2" t="s">
        <v>7</v>
      </c>
      <c r="F426" s="2" t="s">
        <v>5</v>
      </c>
      <c r="G426" s="3" t="s">
        <v>6</v>
      </c>
      <c r="H426" s="3" t="s">
        <v>7</v>
      </c>
      <c r="I426" s="2" t="s">
        <v>5</v>
      </c>
      <c r="J426" s="3" t="s">
        <v>6</v>
      </c>
      <c r="K426" s="2" t="s">
        <v>7</v>
      </c>
    </row>
    <row r="427" spans="1:11" x14ac:dyDescent="0.25">
      <c r="A427" s="1"/>
      <c r="B427" s="1" t="s">
        <v>42</v>
      </c>
      <c r="C427" s="1"/>
      <c r="D427" s="34"/>
      <c r="E427" s="1"/>
      <c r="F427" s="1"/>
      <c r="G427" s="34"/>
      <c r="H427" s="34"/>
      <c r="I427" s="1">
        <v>0</v>
      </c>
      <c r="J427" s="34">
        <v>0</v>
      </c>
      <c r="K427" s="1">
        <v>0</v>
      </c>
    </row>
    <row r="428" spans="1:11" ht="15.75" x14ac:dyDescent="0.25">
      <c r="A428" s="7">
        <v>42009</v>
      </c>
      <c r="B428" s="8" t="s">
        <v>43</v>
      </c>
      <c r="C428" s="6">
        <v>1500</v>
      </c>
      <c r="D428" s="27">
        <f>+E428/C428</f>
        <v>8.2959999999999992E-2</v>
      </c>
      <c r="E428" s="8">
        <v>124.44</v>
      </c>
      <c r="F428" s="8"/>
      <c r="G428" s="27"/>
      <c r="H428" s="27"/>
      <c r="I428" s="6">
        <f>+I427+C428</f>
        <v>1500</v>
      </c>
      <c r="J428" s="27">
        <f t="shared" ref="J428:J436" si="179">+K428/I428</f>
        <v>8.2959999999999992E-2</v>
      </c>
      <c r="K428" s="8">
        <f>+K427+E428</f>
        <v>124.44</v>
      </c>
    </row>
    <row r="429" spans="1:11" ht="15.75" x14ac:dyDescent="0.25">
      <c r="A429" s="122">
        <v>42297</v>
      </c>
      <c r="B429" s="107" t="s">
        <v>363</v>
      </c>
      <c r="C429" s="68"/>
      <c r="D429" s="69"/>
      <c r="E429" s="68"/>
      <c r="F429" s="68">
        <v>1</v>
      </c>
      <c r="G429" s="69">
        <f t="shared" ref="G429:G434" si="180">+J428</f>
        <v>8.2959999999999992E-2</v>
      </c>
      <c r="H429" s="69">
        <f t="shared" ref="H429:H434" si="181">+G429*F429</f>
        <v>8.2959999999999992E-2</v>
      </c>
      <c r="I429" s="68">
        <f t="shared" ref="I429:I434" si="182">+I428-F429</f>
        <v>1499</v>
      </c>
      <c r="J429" s="69">
        <f t="shared" si="179"/>
        <v>8.2959999999999992E-2</v>
      </c>
      <c r="K429" s="69">
        <f t="shared" ref="K429:K434" si="183">+K428-H429</f>
        <v>124.35704</v>
      </c>
    </row>
    <row r="430" spans="1:11" ht="15.75" x14ac:dyDescent="0.25">
      <c r="A430" s="122">
        <v>42304</v>
      </c>
      <c r="B430" s="107" t="s">
        <v>390</v>
      </c>
      <c r="C430" s="68"/>
      <c r="D430" s="69"/>
      <c r="E430" s="68"/>
      <c r="F430" s="68">
        <v>1</v>
      </c>
      <c r="G430" s="69">
        <f t="shared" si="180"/>
        <v>8.2959999999999992E-2</v>
      </c>
      <c r="H430" s="69">
        <f t="shared" si="181"/>
        <v>8.2959999999999992E-2</v>
      </c>
      <c r="I430" s="68">
        <f t="shared" si="182"/>
        <v>1498</v>
      </c>
      <c r="J430" s="69">
        <f t="shared" si="179"/>
        <v>8.2959999999999992E-2</v>
      </c>
      <c r="K430" s="69">
        <f t="shared" si="183"/>
        <v>124.27408</v>
      </c>
    </row>
    <row r="431" spans="1:11" ht="33" customHeight="1" x14ac:dyDescent="0.25">
      <c r="A431" s="307"/>
      <c r="B431" s="335" t="s">
        <v>538</v>
      </c>
      <c r="C431" s="222"/>
      <c r="D431" s="223"/>
      <c r="E431" s="222"/>
      <c r="F431" s="222">
        <v>1</v>
      </c>
      <c r="G431" s="223">
        <f t="shared" si="180"/>
        <v>8.2959999999999992E-2</v>
      </c>
      <c r="H431" s="223">
        <f t="shared" si="181"/>
        <v>8.2959999999999992E-2</v>
      </c>
      <c r="I431" s="222">
        <f t="shared" si="182"/>
        <v>1497</v>
      </c>
      <c r="J431" s="223">
        <f t="shared" si="179"/>
        <v>8.2959999999999992E-2</v>
      </c>
      <c r="K431" s="223">
        <f t="shared" si="183"/>
        <v>124.19112</v>
      </c>
    </row>
    <row r="432" spans="1:11" x14ac:dyDescent="0.25">
      <c r="A432" s="307"/>
      <c r="B432" s="309" t="s">
        <v>542</v>
      </c>
      <c r="C432" s="222"/>
      <c r="D432" s="223"/>
      <c r="E432" s="222"/>
      <c r="F432" s="222">
        <v>1</v>
      </c>
      <c r="G432" s="223">
        <f t="shared" si="180"/>
        <v>8.2959999999999992E-2</v>
      </c>
      <c r="H432" s="223">
        <f t="shared" si="181"/>
        <v>8.2959999999999992E-2</v>
      </c>
      <c r="I432" s="222">
        <f t="shared" si="182"/>
        <v>1496</v>
      </c>
      <c r="J432" s="223">
        <f t="shared" si="179"/>
        <v>8.2959999999999992E-2</v>
      </c>
      <c r="K432" s="223">
        <f t="shared" si="183"/>
        <v>124.10816</v>
      </c>
    </row>
    <row r="433" spans="1:11" x14ac:dyDescent="0.25">
      <c r="A433" s="307"/>
      <c r="B433" s="309" t="s">
        <v>546</v>
      </c>
      <c r="C433" s="222"/>
      <c r="D433" s="223"/>
      <c r="E433" s="222"/>
      <c r="F433" s="222">
        <v>1</v>
      </c>
      <c r="G433" s="223">
        <f t="shared" si="180"/>
        <v>8.2959999999999992E-2</v>
      </c>
      <c r="H433" s="223">
        <f t="shared" si="181"/>
        <v>8.2959999999999992E-2</v>
      </c>
      <c r="I433" s="222">
        <f t="shared" si="182"/>
        <v>1495</v>
      </c>
      <c r="J433" s="223">
        <f t="shared" si="179"/>
        <v>8.2959999999999992E-2</v>
      </c>
      <c r="K433" s="223">
        <f t="shared" si="183"/>
        <v>124.0252</v>
      </c>
    </row>
    <row r="434" spans="1:11" x14ac:dyDescent="0.25">
      <c r="A434" s="307"/>
      <c r="B434" s="335" t="s">
        <v>549</v>
      </c>
      <c r="C434" s="222"/>
      <c r="D434" s="223"/>
      <c r="E434" s="222"/>
      <c r="F434" s="222">
        <v>1</v>
      </c>
      <c r="G434" s="223">
        <f t="shared" si="180"/>
        <v>8.2959999999999992E-2</v>
      </c>
      <c r="H434" s="223">
        <f t="shared" si="181"/>
        <v>8.2959999999999992E-2</v>
      </c>
      <c r="I434" s="222">
        <f t="shared" si="182"/>
        <v>1494</v>
      </c>
      <c r="J434" s="223">
        <f t="shared" si="179"/>
        <v>8.2959999999999992E-2</v>
      </c>
      <c r="K434" s="223">
        <f t="shared" si="183"/>
        <v>123.94224</v>
      </c>
    </row>
    <row r="435" spans="1:11" x14ac:dyDescent="0.25">
      <c r="A435" s="307"/>
      <c r="B435" s="309" t="s">
        <v>566</v>
      </c>
      <c r="C435" s="222"/>
      <c r="D435" s="223"/>
      <c r="E435" s="222"/>
      <c r="F435" s="222">
        <v>1</v>
      </c>
      <c r="G435" s="223">
        <f t="shared" ref="G435:G436" si="184">+J434</f>
        <v>8.2959999999999992E-2</v>
      </c>
      <c r="H435" s="223">
        <f t="shared" ref="H435:H436" si="185">+G435*F435</f>
        <v>8.2959999999999992E-2</v>
      </c>
      <c r="I435" s="222">
        <f t="shared" ref="I435:I436" si="186">+I434-F435</f>
        <v>1493</v>
      </c>
      <c r="J435" s="223">
        <f t="shared" si="179"/>
        <v>8.2959999999999992E-2</v>
      </c>
      <c r="K435" s="223">
        <f t="shared" ref="K435:K436" si="187">+K434-H435</f>
        <v>123.85928</v>
      </c>
    </row>
    <row r="436" spans="1:11" ht="30" x14ac:dyDescent="0.25">
      <c r="A436" s="307"/>
      <c r="B436" s="309" t="s">
        <v>574</v>
      </c>
      <c r="C436" s="222"/>
      <c r="D436" s="223"/>
      <c r="E436" s="222"/>
      <c r="F436" s="222">
        <v>1</v>
      </c>
      <c r="G436" s="223">
        <f t="shared" si="184"/>
        <v>8.2959999999999992E-2</v>
      </c>
      <c r="H436" s="223">
        <f t="shared" si="185"/>
        <v>8.2959999999999992E-2</v>
      </c>
      <c r="I436" s="222">
        <f t="shared" si="186"/>
        <v>1492</v>
      </c>
      <c r="J436" s="223">
        <f t="shared" si="179"/>
        <v>8.2959999999999992E-2</v>
      </c>
      <c r="K436" s="223">
        <f t="shared" si="187"/>
        <v>123.77632</v>
      </c>
    </row>
    <row r="437" spans="1:11" ht="30" x14ac:dyDescent="0.25">
      <c r="A437" s="307"/>
      <c r="B437" s="309" t="s">
        <v>578</v>
      </c>
      <c r="C437" s="222"/>
      <c r="D437" s="223"/>
      <c r="E437" s="222"/>
      <c r="F437" s="222">
        <v>1</v>
      </c>
      <c r="G437" s="223">
        <f t="shared" ref="G437" si="188">+J436</f>
        <v>8.2959999999999992E-2</v>
      </c>
      <c r="H437" s="223">
        <f t="shared" ref="H437" si="189">+G437*F437</f>
        <v>8.2959999999999992E-2</v>
      </c>
      <c r="I437" s="222">
        <f t="shared" ref="I437" si="190">+I436-F437</f>
        <v>1491</v>
      </c>
      <c r="J437" s="223">
        <f t="shared" ref="J437" si="191">+K437/I437</f>
        <v>8.2959999999999992E-2</v>
      </c>
      <c r="K437" s="223">
        <f t="shared" ref="K437" si="192">+K436-H437</f>
        <v>123.69336</v>
      </c>
    </row>
    <row r="438" spans="1:11" x14ac:dyDescent="0.25">
      <c r="A438" s="307"/>
      <c r="B438" s="309" t="s">
        <v>607</v>
      </c>
      <c r="C438" s="222"/>
      <c r="D438" s="223"/>
      <c r="E438" s="222"/>
      <c r="F438" s="222">
        <v>1</v>
      </c>
      <c r="G438" s="223">
        <f t="shared" ref="G438" si="193">+J437</f>
        <v>8.2959999999999992E-2</v>
      </c>
      <c r="H438" s="223">
        <f t="shared" ref="H438:H439" si="194">+G438*F438</f>
        <v>8.2959999999999992E-2</v>
      </c>
      <c r="I438" s="222">
        <f t="shared" ref="I438" si="195">+I437-F438</f>
        <v>1490</v>
      </c>
      <c r="J438" s="223">
        <f t="shared" ref="J438:J439" si="196">+K438/I438</f>
        <v>8.2959999999999992E-2</v>
      </c>
      <c r="K438" s="223">
        <f t="shared" ref="K438" si="197">+K437-H438</f>
        <v>123.6104</v>
      </c>
    </row>
    <row r="439" spans="1:11" x14ac:dyDescent="0.25">
      <c r="A439" s="5"/>
      <c r="B439" s="309" t="s">
        <v>583</v>
      </c>
      <c r="C439" s="222"/>
      <c r="D439" s="223"/>
      <c r="E439" s="222"/>
      <c r="F439" s="222">
        <v>1</v>
      </c>
      <c r="G439" s="223">
        <f>+G438</f>
        <v>8.2959999999999992E-2</v>
      </c>
      <c r="H439" s="223">
        <f t="shared" si="194"/>
        <v>8.2959999999999992E-2</v>
      </c>
      <c r="I439" s="222">
        <f>+I438-F439</f>
        <v>1489</v>
      </c>
      <c r="J439" s="223">
        <f t="shared" si="196"/>
        <v>8.2960000000000006E-2</v>
      </c>
      <c r="K439" s="223">
        <f>+K438-H439</f>
        <v>123.52744</v>
      </c>
    </row>
    <row r="440" spans="1:11" x14ac:dyDescent="0.25">
      <c r="A440" s="28"/>
      <c r="B440" s="343"/>
      <c r="C440" s="29"/>
      <c r="D440" s="30"/>
      <c r="E440" s="29"/>
      <c r="F440" s="29"/>
      <c r="G440" s="30"/>
      <c r="H440" s="30"/>
      <c r="I440" s="29"/>
      <c r="J440" s="30"/>
      <c r="K440" s="30"/>
    </row>
    <row r="443" spans="1:11" ht="15.75" x14ac:dyDescent="0.25">
      <c r="A443" s="456" t="s">
        <v>10</v>
      </c>
      <c r="B443" s="456"/>
      <c r="C443" s="456"/>
      <c r="D443" s="456"/>
      <c r="E443" s="456"/>
      <c r="F443" s="456"/>
      <c r="G443" s="456"/>
      <c r="H443" s="456"/>
      <c r="I443" s="456"/>
      <c r="J443" s="456"/>
      <c r="K443" s="456"/>
    </row>
    <row r="444" spans="1:11" ht="15.75" x14ac:dyDescent="0.25">
      <c r="A444" s="456" t="s">
        <v>11</v>
      </c>
      <c r="B444" s="456"/>
      <c r="C444" s="456"/>
      <c r="D444" s="456"/>
      <c r="E444" s="456"/>
      <c r="F444" s="456"/>
      <c r="G444" s="456"/>
      <c r="H444" s="456"/>
      <c r="I444" s="456"/>
      <c r="J444" s="456"/>
      <c r="K444" s="456"/>
    </row>
    <row r="445" spans="1:11" x14ac:dyDescent="0.25">
      <c r="A445" s="2" t="s">
        <v>8</v>
      </c>
      <c r="B445" s="465" t="s">
        <v>102</v>
      </c>
      <c r="C445" s="466"/>
      <c r="D445" s="466"/>
      <c r="E445" s="467"/>
      <c r="F445" s="9" t="s">
        <v>48</v>
      </c>
      <c r="G445" s="468" t="s">
        <v>49</v>
      </c>
      <c r="H445" s="469"/>
      <c r="I445" s="469"/>
      <c r="J445" s="469"/>
      <c r="K445" s="470"/>
    </row>
    <row r="446" spans="1:11" x14ac:dyDescent="0.25">
      <c r="A446" s="4" t="s">
        <v>9</v>
      </c>
      <c r="B446" s="471" t="s">
        <v>66</v>
      </c>
      <c r="C446" s="471"/>
      <c r="D446" s="471"/>
      <c r="E446" s="471"/>
      <c r="F446" s="11" t="s">
        <v>50</v>
      </c>
      <c r="G446" s="471" t="s">
        <v>73</v>
      </c>
      <c r="H446" s="471"/>
      <c r="I446" s="471"/>
      <c r="J446" s="471"/>
      <c r="K446" s="471"/>
    </row>
    <row r="447" spans="1:11" x14ac:dyDescent="0.25">
      <c r="A447" s="464" t="s">
        <v>0</v>
      </c>
      <c r="B447" s="464" t="s">
        <v>1</v>
      </c>
      <c r="C447" s="464" t="s">
        <v>2</v>
      </c>
      <c r="D447" s="464"/>
      <c r="E447" s="464"/>
      <c r="F447" s="464" t="s">
        <v>3</v>
      </c>
      <c r="G447" s="464"/>
      <c r="H447" s="464"/>
      <c r="I447" s="464" t="s">
        <v>4</v>
      </c>
      <c r="J447" s="464"/>
      <c r="K447" s="464"/>
    </row>
    <row r="448" spans="1:11" x14ac:dyDescent="0.25">
      <c r="A448" s="464"/>
      <c r="B448" s="464"/>
      <c r="C448" s="2" t="s">
        <v>5</v>
      </c>
      <c r="D448" s="3" t="s">
        <v>6</v>
      </c>
      <c r="E448" s="2" t="s">
        <v>7</v>
      </c>
      <c r="F448" s="2" t="s">
        <v>5</v>
      </c>
      <c r="G448" s="3" t="s">
        <v>6</v>
      </c>
      <c r="H448" s="3" t="s">
        <v>7</v>
      </c>
      <c r="I448" s="2" t="s">
        <v>5</v>
      </c>
      <c r="J448" s="3" t="s">
        <v>6</v>
      </c>
      <c r="K448" s="2" t="s">
        <v>7</v>
      </c>
    </row>
    <row r="449" spans="1:11" x14ac:dyDescent="0.25">
      <c r="A449" s="1"/>
      <c r="B449" s="1" t="s">
        <v>42</v>
      </c>
      <c r="C449" s="1"/>
      <c r="D449" s="34"/>
      <c r="E449" s="1"/>
      <c r="F449" s="1"/>
      <c r="G449" s="34"/>
      <c r="H449" s="34"/>
      <c r="I449" s="1">
        <v>0</v>
      </c>
      <c r="J449" s="34">
        <v>0</v>
      </c>
      <c r="K449" s="1">
        <v>0</v>
      </c>
    </row>
    <row r="450" spans="1:11" ht="15.75" x14ac:dyDescent="0.25">
      <c r="A450" s="7">
        <v>42009</v>
      </c>
      <c r="B450" s="8" t="s">
        <v>43</v>
      </c>
      <c r="C450" s="6">
        <v>2000</v>
      </c>
      <c r="D450" s="27">
        <f>+E450/C450</f>
        <v>3.8259999999999995E-2</v>
      </c>
      <c r="E450" s="8">
        <v>76.52</v>
      </c>
      <c r="F450" s="8"/>
      <c r="G450" s="27"/>
      <c r="H450" s="27"/>
      <c r="I450" s="6">
        <f>+I449+C450</f>
        <v>2000</v>
      </c>
      <c r="J450" s="27">
        <f>+K450/I450</f>
        <v>3.8259999999999995E-2</v>
      </c>
      <c r="K450" s="8">
        <f>+K449+E450</f>
        <v>76.52</v>
      </c>
    </row>
    <row r="451" spans="1:11" ht="15.75" x14ac:dyDescent="0.25">
      <c r="A451" s="122">
        <v>42297</v>
      </c>
      <c r="B451" s="107" t="s">
        <v>363</v>
      </c>
      <c r="C451" s="68"/>
      <c r="D451" s="69"/>
      <c r="E451" s="68"/>
      <c r="F451" s="68">
        <v>2.5</v>
      </c>
      <c r="G451" s="69">
        <f>+J450</f>
        <v>3.8259999999999995E-2</v>
      </c>
      <c r="H451" s="69">
        <f>+G451*F451</f>
        <v>9.5649999999999985E-2</v>
      </c>
      <c r="I451" s="69">
        <f>+I450-F451</f>
        <v>1997.5</v>
      </c>
      <c r="J451" s="69">
        <f>+K451/I451</f>
        <v>3.8259999999999995E-2</v>
      </c>
      <c r="K451" s="69">
        <f>+K450-H451</f>
        <v>76.42434999999999</v>
      </c>
    </row>
    <row r="452" spans="1:11" ht="15.75" x14ac:dyDescent="0.25">
      <c r="A452" s="122">
        <v>42304</v>
      </c>
      <c r="B452" s="107" t="s">
        <v>390</v>
      </c>
      <c r="C452" s="68"/>
      <c r="D452" s="69"/>
      <c r="E452" s="68"/>
      <c r="F452" s="68">
        <v>2.5</v>
      </c>
      <c r="G452" s="69">
        <f>+J451</f>
        <v>3.8259999999999995E-2</v>
      </c>
      <c r="H452" s="69">
        <f>+G452*F452</f>
        <v>9.5649999999999985E-2</v>
      </c>
      <c r="I452" s="69">
        <f>+I451-F452</f>
        <v>1995</v>
      </c>
      <c r="J452" s="69">
        <f>+K452/I452</f>
        <v>3.8259999999999988E-2</v>
      </c>
      <c r="K452" s="69">
        <f>+K451-H452</f>
        <v>76.328699999999984</v>
      </c>
    </row>
    <row r="453" spans="1:11" x14ac:dyDescent="0.25">
      <c r="A453" s="5"/>
      <c r="B453" s="2"/>
      <c r="C453" s="2"/>
      <c r="D453" s="3"/>
      <c r="E453" s="2"/>
      <c r="F453" s="2"/>
      <c r="G453" s="3"/>
      <c r="H453" s="3"/>
      <c r="I453" s="2"/>
      <c r="J453" s="3"/>
      <c r="K453" s="3"/>
    </row>
    <row r="457" spans="1:11" ht="15.75" x14ac:dyDescent="0.25">
      <c r="A457" s="456" t="s">
        <v>10</v>
      </c>
      <c r="B457" s="456"/>
      <c r="C457" s="456"/>
      <c r="D457" s="456"/>
      <c r="E457" s="456"/>
      <c r="F457" s="456"/>
      <c r="G457" s="456"/>
      <c r="H457" s="456"/>
      <c r="I457" s="456"/>
      <c r="J457" s="456"/>
      <c r="K457" s="456"/>
    </row>
    <row r="458" spans="1:11" ht="15.75" x14ac:dyDescent="0.25">
      <c r="A458" s="456" t="s">
        <v>11</v>
      </c>
      <c r="B458" s="456"/>
      <c r="C458" s="456"/>
      <c r="D458" s="456"/>
      <c r="E458" s="456"/>
      <c r="F458" s="456"/>
      <c r="G458" s="456"/>
      <c r="H458" s="456"/>
      <c r="I458" s="456"/>
      <c r="J458" s="456"/>
      <c r="K458" s="456"/>
    </row>
    <row r="459" spans="1:11" x14ac:dyDescent="0.25">
      <c r="A459" s="2" t="s">
        <v>8</v>
      </c>
      <c r="B459" s="465" t="s">
        <v>103</v>
      </c>
      <c r="C459" s="466"/>
      <c r="D459" s="466"/>
      <c r="E459" s="467"/>
      <c r="F459" s="9" t="s">
        <v>48</v>
      </c>
      <c r="G459" s="468" t="s">
        <v>49</v>
      </c>
      <c r="H459" s="469"/>
      <c r="I459" s="469"/>
      <c r="J459" s="469"/>
      <c r="K459" s="470"/>
    </row>
    <row r="460" spans="1:11" x14ac:dyDescent="0.25">
      <c r="A460" s="4" t="s">
        <v>9</v>
      </c>
      <c r="B460" s="471" t="s">
        <v>66</v>
      </c>
      <c r="C460" s="471"/>
      <c r="D460" s="471"/>
      <c r="E460" s="471"/>
      <c r="F460" s="11" t="s">
        <v>50</v>
      </c>
      <c r="G460" s="471" t="s">
        <v>91</v>
      </c>
      <c r="H460" s="471"/>
      <c r="I460" s="471"/>
      <c r="J460" s="471"/>
      <c r="K460" s="471"/>
    </row>
    <row r="461" spans="1:11" x14ac:dyDescent="0.25">
      <c r="A461" s="464" t="s">
        <v>0</v>
      </c>
      <c r="B461" s="464" t="s">
        <v>1</v>
      </c>
      <c r="C461" s="464" t="s">
        <v>2</v>
      </c>
      <c r="D461" s="464"/>
      <c r="E461" s="464"/>
      <c r="F461" s="464" t="s">
        <v>3</v>
      </c>
      <c r="G461" s="464"/>
      <c r="H461" s="464"/>
      <c r="I461" s="464" t="s">
        <v>4</v>
      </c>
      <c r="J461" s="464"/>
      <c r="K461" s="464"/>
    </row>
    <row r="462" spans="1:11" x14ac:dyDescent="0.25">
      <c r="A462" s="464"/>
      <c r="B462" s="464"/>
      <c r="C462" s="2" t="s">
        <v>5</v>
      </c>
      <c r="D462" s="3" t="s">
        <v>6</v>
      </c>
      <c r="E462" s="2" t="s">
        <v>7</v>
      </c>
      <c r="F462" s="2" t="s">
        <v>5</v>
      </c>
      <c r="G462" s="3" t="s">
        <v>6</v>
      </c>
      <c r="H462" s="3" t="s">
        <v>7</v>
      </c>
      <c r="I462" s="2" t="s">
        <v>5</v>
      </c>
      <c r="J462" s="3" t="s">
        <v>6</v>
      </c>
      <c r="K462" s="2" t="s">
        <v>7</v>
      </c>
    </row>
    <row r="463" spans="1:11" x14ac:dyDescent="0.25">
      <c r="A463" s="1"/>
      <c r="B463" s="1" t="s">
        <v>42</v>
      </c>
      <c r="C463" s="1"/>
      <c r="D463" s="34"/>
      <c r="E463" s="1"/>
      <c r="F463" s="1"/>
      <c r="G463" s="34"/>
      <c r="H463" s="34"/>
      <c r="I463" s="1">
        <v>0</v>
      </c>
      <c r="J463" s="34">
        <v>0</v>
      </c>
      <c r="K463" s="1">
        <v>0</v>
      </c>
    </row>
    <row r="464" spans="1:11" ht="15.75" x14ac:dyDescent="0.25">
      <c r="A464" s="7">
        <v>42009</v>
      </c>
      <c r="B464" s="8" t="s">
        <v>43</v>
      </c>
      <c r="C464" s="6">
        <v>300</v>
      </c>
      <c r="D464" s="27">
        <f>+E464/C464</f>
        <v>0.245</v>
      </c>
      <c r="E464" s="8">
        <v>73.5</v>
      </c>
      <c r="F464" s="8"/>
      <c r="G464" s="27"/>
      <c r="H464" s="27"/>
      <c r="I464" s="6">
        <f>+I463+C464</f>
        <v>300</v>
      </c>
      <c r="J464" s="27">
        <f>+K464/I464</f>
        <v>0.245</v>
      </c>
      <c r="K464" s="8">
        <f>+K463+E464</f>
        <v>73.5</v>
      </c>
    </row>
    <row r="465" spans="1:11" x14ac:dyDescent="0.25">
      <c r="A465" s="307"/>
      <c r="B465" s="309" t="s">
        <v>546</v>
      </c>
      <c r="C465" s="222"/>
      <c r="D465" s="223"/>
      <c r="E465" s="222"/>
      <c r="F465" s="222">
        <v>2.5</v>
      </c>
      <c r="G465" s="223">
        <f>+J464</f>
        <v>0.245</v>
      </c>
      <c r="H465" s="223">
        <f>+G465*F465</f>
        <v>0.61250000000000004</v>
      </c>
      <c r="I465" s="222">
        <f>+I464-F465</f>
        <v>297.5</v>
      </c>
      <c r="J465" s="223">
        <f>+K465/I465</f>
        <v>0.24500000000000002</v>
      </c>
      <c r="K465" s="223">
        <f>+K464-H465</f>
        <v>72.887500000000003</v>
      </c>
    </row>
    <row r="466" spans="1:11" x14ac:dyDescent="0.25">
      <c r="A466" s="5"/>
      <c r="B466" s="2"/>
      <c r="C466" s="2"/>
      <c r="D466" s="3"/>
      <c r="E466" s="2"/>
      <c r="F466" s="2"/>
      <c r="G466" s="3"/>
      <c r="H466" s="3"/>
      <c r="I466" s="2"/>
      <c r="J466" s="3"/>
      <c r="K466" s="3"/>
    </row>
    <row r="467" spans="1:11" x14ac:dyDescent="0.25">
      <c r="A467" s="5"/>
      <c r="B467" s="2"/>
      <c r="C467" s="2"/>
      <c r="D467" s="3"/>
      <c r="E467" s="2"/>
      <c r="F467" s="2"/>
      <c r="G467" s="3"/>
      <c r="H467" s="3"/>
      <c r="I467" s="2"/>
      <c r="J467" s="3"/>
      <c r="K467" s="3"/>
    </row>
    <row r="471" spans="1:11" ht="15.75" x14ac:dyDescent="0.25">
      <c r="A471" s="456" t="s">
        <v>10</v>
      </c>
      <c r="B471" s="456"/>
      <c r="C471" s="456"/>
      <c r="D471" s="456"/>
      <c r="E471" s="456"/>
      <c r="F471" s="456"/>
      <c r="G471" s="456"/>
      <c r="H471" s="456"/>
      <c r="I471" s="456"/>
      <c r="J471" s="456"/>
      <c r="K471" s="456"/>
    </row>
    <row r="472" spans="1:11" ht="15.75" x14ac:dyDescent="0.25">
      <c r="A472" s="456" t="s">
        <v>11</v>
      </c>
      <c r="B472" s="456"/>
      <c r="C472" s="456"/>
      <c r="D472" s="456"/>
      <c r="E472" s="456"/>
      <c r="F472" s="456"/>
      <c r="G472" s="456"/>
      <c r="H472" s="456"/>
      <c r="I472" s="456"/>
      <c r="J472" s="456"/>
      <c r="K472" s="456"/>
    </row>
    <row r="473" spans="1:11" x14ac:dyDescent="0.25">
      <c r="A473" s="2" t="s">
        <v>8</v>
      </c>
      <c r="B473" s="465" t="s">
        <v>105</v>
      </c>
      <c r="C473" s="466"/>
      <c r="D473" s="466"/>
      <c r="E473" s="467"/>
      <c r="F473" s="9" t="s">
        <v>48</v>
      </c>
      <c r="G473" s="468" t="s">
        <v>49</v>
      </c>
      <c r="H473" s="469"/>
      <c r="I473" s="469"/>
      <c r="J473" s="469"/>
      <c r="K473" s="470"/>
    </row>
    <row r="474" spans="1:11" x14ac:dyDescent="0.25">
      <c r="A474" s="4" t="s">
        <v>9</v>
      </c>
      <c r="B474" s="471" t="s">
        <v>66</v>
      </c>
      <c r="C474" s="471"/>
      <c r="D474" s="471"/>
      <c r="E474" s="471"/>
      <c r="F474" s="11" t="s">
        <v>50</v>
      </c>
      <c r="G474" s="471" t="s">
        <v>91</v>
      </c>
      <c r="H474" s="471"/>
      <c r="I474" s="471"/>
      <c r="J474" s="471"/>
      <c r="K474" s="471"/>
    </row>
    <row r="475" spans="1:11" x14ac:dyDescent="0.25">
      <c r="A475" s="464" t="s">
        <v>0</v>
      </c>
      <c r="B475" s="464" t="s">
        <v>1</v>
      </c>
      <c r="C475" s="464" t="s">
        <v>2</v>
      </c>
      <c r="D475" s="464"/>
      <c r="E475" s="464"/>
      <c r="F475" s="464" t="s">
        <v>3</v>
      </c>
      <c r="G475" s="464"/>
      <c r="H475" s="464"/>
      <c r="I475" s="464" t="s">
        <v>4</v>
      </c>
      <c r="J475" s="464"/>
      <c r="K475" s="464"/>
    </row>
    <row r="476" spans="1:11" x14ac:dyDescent="0.25">
      <c r="A476" s="464"/>
      <c r="B476" s="464"/>
      <c r="C476" s="2" t="s">
        <v>5</v>
      </c>
      <c r="D476" s="3" t="s">
        <v>6</v>
      </c>
      <c r="E476" s="2" t="s">
        <v>7</v>
      </c>
      <c r="F476" s="2" t="s">
        <v>5</v>
      </c>
      <c r="G476" s="3" t="s">
        <v>6</v>
      </c>
      <c r="H476" s="3" t="s">
        <v>7</v>
      </c>
      <c r="I476" s="2" t="s">
        <v>5</v>
      </c>
      <c r="J476" s="3" t="s">
        <v>6</v>
      </c>
      <c r="K476" s="2" t="s">
        <v>7</v>
      </c>
    </row>
    <row r="477" spans="1:11" x14ac:dyDescent="0.25">
      <c r="A477" s="1"/>
      <c r="B477" s="1" t="s">
        <v>42</v>
      </c>
      <c r="C477" s="1"/>
      <c r="D477" s="34"/>
      <c r="E477" s="1"/>
      <c r="F477" s="1"/>
      <c r="G477" s="34"/>
      <c r="H477" s="34"/>
      <c r="I477" s="1">
        <v>0</v>
      </c>
      <c r="J477" s="34">
        <v>0</v>
      </c>
      <c r="K477" s="1">
        <v>0</v>
      </c>
    </row>
    <row r="478" spans="1:11" ht="15.75" x14ac:dyDescent="0.25">
      <c r="A478" s="7">
        <v>42009</v>
      </c>
      <c r="B478" s="8" t="s">
        <v>43</v>
      </c>
      <c r="C478" s="6">
        <v>400</v>
      </c>
      <c r="D478" s="27">
        <f>+E478/C478</f>
        <v>0.245</v>
      </c>
      <c r="E478" s="8">
        <v>98</v>
      </c>
      <c r="F478" s="8"/>
      <c r="G478" s="27"/>
      <c r="H478" s="27"/>
      <c r="I478" s="6">
        <f>+I477+C478</f>
        <v>400</v>
      </c>
      <c r="J478" s="27">
        <f>+K478/I478</f>
        <v>0.245</v>
      </c>
      <c r="K478" s="8">
        <f>+K477+E478</f>
        <v>98</v>
      </c>
    </row>
    <row r="479" spans="1:11" x14ac:dyDescent="0.25">
      <c r="A479" s="307"/>
      <c r="B479" s="309" t="s">
        <v>549</v>
      </c>
      <c r="C479" s="222"/>
      <c r="D479" s="223"/>
      <c r="E479" s="222"/>
      <c r="F479" s="222">
        <v>2.5</v>
      </c>
      <c r="G479" s="223">
        <f>+J478</f>
        <v>0.245</v>
      </c>
      <c r="H479" s="223">
        <f>+G479*F479</f>
        <v>0.61250000000000004</v>
      </c>
      <c r="I479" s="222">
        <f>+I478-F479</f>
        <v>397.5</v>
      </c>
      <c r="J479" s="223">
        <f>+K479/I479</f>
        <v>0.245</v>
      </c>
      <c r="K479" s="223">
        <f>+K478-H479</f>
        <v>97.387500000000003</v>
      </c>
    </row>
    <row r="480" spans="1:11" x14ac:dyDescent="0.25">
      <c r="A480" s="5"/>
      <c r="B480" s="2"/>
      <c r="C480" s="2"/>
      <c r="D480" s="3"/>
      <c r="E480" s="2"/>
      <c r="F480" s="2"/>
      <c r="G480" s="3"/>
      <c r="H480" s="3"/>
      <c r="I480" s="2"/>
      <c r="J480" s="3"/>
      <c r="K480" s="3"/>
    </row>
    <row r="481" spans="1:11" x14ac:dyDescent="0.25">
      <c r="A481" s="5"/>
      <c r="B481" s="2"/>
      <c r="C481" s="2"/>
      <c r="D481" s="3"/>
      <c r="E481" s="2"/>
      <c r="F481" s="2"/>
      <c r="G481" s="3"/>
      <c r="H481" s="3"/>
      <c r="I481" s="2"/>
      <c r="J481" s="3"/>
      <c r="K481" s="3"/>
    </row>
    <row r="485" spans="1:11" ht="15.75" x14ac:dyDescent="0.25">
      <c r="A485" s="456" t="s">
        <v>10</v>
      </c>
      <c r="B485" s="456"/>
      <c r="C485" s="456"/>
      <c r="D485" s="456"/>
      <c r="E485" s="456"/>
      <c r="F485" s="456"/>
      <c r="G485" s="456"/>
      <c r="H485" s="456"/>
      <c r="I485" s="456"/>
      <c r="J485" s="456"/>
      <c r="K485" s="456"/>
    </row>
    <row r="486" spans="1:11" ht="15.75" x14ac:dyDescent="0.25">
      <c r="A486" s="456" t="s">
        <v>11</v>
      </c>
      <c r="B486" s="456"/>
      <c r="C486" s="456"/>
      <c r="D486" s="456"/>
      <c r="E486" s="456"/>
      <c r="F486" s="456"/>
      <c r="G486" s="456"/>
      <c r="H486" s="456"/>
      <c r="I486" s="456"/>
      <c r="J486" s="456"/>
      <c r="K486" s="456"/>
    </row>
    <row r="487" spans="1:11" x14ac:dyDescent="0.25">
      <c r="A487" s="2" t="s">
        <v>8</v>
      </c>
      <c r="B487" s="465" t="s">
        <v>106</v>
      </c>
      <c r="C487" s="466"/>
      <c r="D487" s="466"/>
      <c r="E487" s="467"/>
      <c r="F487" s="9" t="s">
        <v>48</v>
      </c>
      <c r="G487" s="468" t="s">
        <v>49</v>
      </c>
      <c r="H487" s="469"/>
      <c r="I487" s="469"/>
      <c r="J487" s="469"/>
      <c r="K487" s="470"/>
    </row>
    <row r="488" spans="1:11" x14ac:dyDescent="0.25">
      <c r="A488" s="4" t="s">
        <v>9</v>
      </c>
      <c r="B488" s="471" t="s">
        <v>66</v>
      </c>
      <c r="C488" s="471"/>
      <c r="D488" s="471"/>
      <c r="E488" s="471"/>
      <c r="F488" s="11" t="s">
        <v>50</v>
      </c>
      <c r="G488" s="471" t="s">
        <v>67</v>
      </c>
      <c r="H488" s="471"/>
      <c r="I488" s="471"/>
      <c r="J488" s="471"/>
      <c r="K488" s="471"/>
    </row>
    <row r="489" spans="1:11" x14ac:dyDescent="0.25">
      <c r="A489" s="464" t="s">
        <v>0</v>
      </c>
      <c r="B489" s="464" t="s">
        <v>1</v>
      </c>
      <c r="C489" s="464" t="s">
        <v>2</v>
      </c>
      <c r="D489" s="464"/>
      <c r="E489" s="464"/>
      <c r="F489" s="464" t="s">
        <v>3</v>
      </c>
      <c r="G489" s="464"/>
      <c r="H489" s="464"/>
      <c r="I489" s="464" t="s">
        <v>4</v>
      </c>
      <c r="J489" s="464"/>
      <c r="K489" s="464"/>
    </row>
    <row r="490" spans="1:11" x14ac:dyDescent="0.25">
      <c r="A490" s="464"/>
      <c r="B490" s="464"/>
      <c r="C490" s="2" t="s">
        <v>5</v>
      </c>
      <c r="D490" s="3" t="s">
        <v>6</v>
      </c>
      <c r="E490" s="2" t="s">
        <v>7</v>
      </c>
      <c r="F490" s="2" t="s">
        <v>5</v>
      </c>
      <c r="G490" s="3" t="s">
        <v>6</v>
      </c>
      <c r="H490" s="3" t="s">
        <v>7</v>
      </c>
      <c r="I490" s="2" t="s">
        <v>5</v>
      </c>
      <c r="J490" s="3" t="s">
        <v>6</v>
      </c>
      <c r="K490" s="2" t="s">
        <v>7</v>
      </c>
    </row>
    <row r="491" spans="1:11" x14ac:dyDescent="0.25">
      <c r="A491" s="1"/>
      <c r="B491" s="1" t="s">
        <v>42</v>
      </c>
      <c r="C491" s="1"/>
      <c r="D491" s="34"/>
      <c r="E491" s="1"/>
      <c r="F491" s="1"/>
      <c r="G491" s="34"/>
      <c r="H491" s="34"/>
      <c r="I491" s="1">
        <v>0</v>
      </c>
      <c r="J491" s="34">
        <v>0</v>
      </c>
      <c r="K491" s="1">
        <v>0</v>
      </c>
    </row>
    <row r="492" spans="1:11" ht="15.75" x14ac:dyDescent="0.25">
      <c r="A492" s="7">
        <v>42009</v>
      </c>
      <c r="B492" s="8" t="s">
        <v>43</v>
      </c>
      <c r="C492" s="6">
        <v>500</v>
      </c>
      <c r="D492" s="27">
        <f>+E492/C492</f>
        <v>4.9000000000000002E-2</v>
      </c>
      <c r="E492" s="8">
        <v>24.5</v>
      </c>
      <c r="F492" s="8"/>
      <c r="G492" s="27"/>
      <c r="H492" s="27"/>
      <c r="I492" s="6">
        <f>+I491+C492</f>
        <v>500</v>
      </c>
      <c r="J492" s="27">
        <f>+K492/I492</f>
        <v>4.9000000000000002E-2</v>
      </c>
      <c r="K492" s="8">
        <f>+K491+E492</f>
        <v>24.5</v>
      </c>
    </row>
    <row r="493" spans="1:11" x14ac:dyDescent="0.25">
      <c r="A493" s="307"/>
      <c r="B493" s="309" t="s">
        <v>607</v>
      </c>
      <c r="C493" s="222"/>
      <c r="D493" s="223"/>
      <c r="E493" s="222"/>
      <c r="F493" s="222">
        <v>2.5</v>
      </c>
      <c r="G493" s="223">
        <f>+J492</f>
        <v>4.9000000000000002E-2</v>
      </c>
      <c r="H493" s="223">
        <f>+G493*F493</f>
        <v>0.1225</v>
      </c>
      <c r="I493" s="222">
        <f>+I492-F493</f>
        <v>497.5</v>
      </c>
      <c r="J493" s="223">
        <f>+K493/I493</f>
        <v>4.9000000000000002E-2</v>
      </c>
      <c r="K493" s="223">
        <f>+K492-H493</f>
        <v>24.377500000000001</v>
      </c>
    </row>
    <row r="494" spans="1:11" x14ac:dyDescent="0.25">
      <c r="A494" s="5"/>
      <c r="B494" s="2"/>
      <c r="C494" s="2"/>
      <c r="D494" s="3"/>
      <c r="E494" s="2"/>
      <c r="F494" s="2"/>
      <c r="G494" s="3"/>
      <c r="H494" s="3"/>
      <c r="I494" s="2"/>
      <c r="J494" s="3"/>
      <c r="K494" s="3"/>
    </row>
    <row r="495" spans="1:11" x14ac:dyDescent="0.25">
      <c r="A495" s="5"/>
      <c r="B495" s="2"/>
      <c r="C495" s="2"/>
      <c r="D495" s="3"/>
      <c r="E495" s="2"/>
      <c r="F495" s="2"/>
      <c r="G495" s="3"/>
      <c r="H495" s="3"/>
      <c r="I495" s="2"/>
      <c r="J495" s="3"/>
      <c r="K495" s="3"/>
    </row>
    <row r="498" spans="1:11" ht="15.75" x14ac:dyDescent="0.25">
      <c r="A498" s="456" t="s">
        <v>10</v>
      </c>
      <c r="B498" s="456"/>
      <c r="C498" s="456"/>
      <c r="D498" s="456"/>
      <c r="E498" s="456"/>
      <c r="F498" s="456"/>
      <c r="G498" s="456"/>
      <c r="H498" s="456"/>
      <c r="I498" s="456"/>
      <c r="J498" s="456"/>
      <c r="K498" s="456"/>
    </row>
    <row r="499" spans="1:11" ht="15.75" x14ac:dyDescent="0.25">
      <c r="A499" s="456" t="s">
        <v>11</v>
      </c>
      <c r="B499" s="456"/>
      <c r="C499" s="456"/>
      <c r="D499" s="456"/>
      <c r="E499" s="456"/>
      <c r="F499" s="456"/>
      <c r="G499" s="456"/>
      <c r="H499" s="456"/>
      <c r="I499" s="456"/>
      <c r="J499" s="456"/>
      <c r="K499" s="456"/>
    </row>
    <row r="500" spans="1:11" x14ac:dyDescent="0.25">
      <c r="A500" s="2" t="s">
        <v>8</v>
      </c>
      <c r="B500" s="465" t="s">
        <v>107</v>
      </c>
      <c r="C500" s="466"/>
      <c r="D500" s="466"/>
      <c r="E500" s="467"/>
      <c r="F500" s="9" t="s">
        <v>48</v>
      </c>
      <c r="G500" s="468" t="s">
        <v>49</v>
      </c>
      <c r="H500" s="469"/>
      <c r="I500" s="469"/>
      <c r="J500" s="469"/>
      <c r="K500" s="470"/>
    </row>
    <row r="501" spans="1:11" x14ac:dyDescent="0.25">
      <c r="A501" s="4" t="s">
        <v>9</v>
      </c>
      <c r="B501" s="471" t="s">
        <v>650</v>
      </c>
      <c r="C501" s="471"/>
      <c r="D501" s="471"/>
      <c r="E501" s="471"/>
      <c r="F501" s="11" t="s">
        <v>50</v>
      </c>
      <c r="G501" s="471" t="s">
        <v>91</v>
      </c>
      <c r="H501" s="471"/>
      <c r="I501" s="471"/>
      <c r="J501" s="471"/>
      <c r="K501" s="471"/>
    </row>
    <row r="502" spans="1:11" x14ac:dyDescent="0.25">
      <c r="A502" s="464" t="s">
        <v>0</v>
      </c>
      <c r="B502" s="464" t="s">
        <v>1</v>
      </c>
      <c r="C502" s="464" t="s">
        <v>2</v>
      </c>
      <c r="D502" s="464"/>
      <c r="E502" s="464"/>
      <c r="F502" s="464" t="s">
        <v>3</v>
      </c>
      <c r="G502" s="464"/>
      <c r="H502" s="464"/>
      <c r="I502" s="464" t="s">
        <v>4</v>
      </c>
      <c r="J502" s="464"/>
      <c r="K502" s="464"/>
    </row>
    <row r="503" spans="1:11" x14ac:dyDescent="0.25">
      <c r="A503" s="464"/>
      <c r="B503" s="464"/>
      <c r="C503" s="2" t="s">
        <v>5</v>
      </c>
      <c r="D503" s="3" t="s">
        <v>6</v>
      </c>
      <c r="E503" s="2" t="s">
        <v>7</v>
      </c>
      <c r="F503" s="2" t="s">
        <v>5</v>
      </c>
      <c r="G503" s="3" t="s">
        <v>6</v>
      </c>
      <c r="H503" s="3" t="s">
        <v>7</v>
      </c>
      <c r="I503" s="2" t="s">
        <v>5</v>
      </c>
      <c r="J503" s="3" t="s">
        <v>6</v>
      </c>
      <c r="K503" s="2" t="s">
        <v>7</v>
      </c>
    </row>
    <row r="504" spans="1:11" x14ac:dyDescent="0.25">
      <c r="A504" s="1"/>
      <c r="B504" s="1" t="s">
        <v>42</v>
      </c>
      <c r="C504" s="1"/>
      <c r="D504" s="34"/>
      <c r="E504" s="1"/>
      <c r="F504" s="1"/>
      <c r="G504" s="34"/>
      <c r="H504" s="34"/>
      <c r="I504" s="1">
        <v>0</v>
      </c>
      <c r="J504" s="34">
        <v>0</v>
      </c>
      <c r="K504" s="1">
        <v>0</v>
      </c>
    </row>
    <row r="505" spans="1:11" ht="15.75" x14ac:dyDescent="0.25">
      <c r="A505" s="7">
        <v>42009</v>
      </c>
      <c r="B505" s="8" t="s">
        <v>43</v>
      </c>
      <c r="C505" s="6">
        <v>100</v>
      </c>
      <c r="D505" s="27">
        <f>+E505/C505</f>
        <v>0.245</v>
      </c>
      <c r="E505" s="8">
        <v>24.5</v>
      </c>
      <c r="F505" s="8"/>
      <c r="G505" s="27"/>
      <c r="H505" s="27"/>
      <c r="I505" s="6">
        <f>+I504+C505</f>
        <v>100</v>
      </c>
      <c r="J505" s="27">
        <f>+K505/I505</f>
        <v>0.245</v>
      </c>
      <c r="K505" s="8">
        <f>+K504+E505</f>
        <v>24.5</v>
      </c>
    </row>
    <row r="506" spans="1:11" ht="36" customHeight="1" x14ac:dyDescent="0.25">
      <c r="A506" s="307"/>
      <c r="B506" s="309" t="s">
        <v>538</v>
      </c>
      <c r="C506" s="222"/>
      <c r="D506" s="223"/>
      <c r="E506" s="222"/>
      <c r="F506" s="222">
        <v>2.5</v>
      </c>
      <c r="G506" s="223">
        <f>+J505</f>
        <v>0.245</v>
      </c>
      <c r="H506" s="223">
        <f>+G506*F506</f>
        <v>0.61250000000000004</v>
      </c>
      <c r="I506" s="222">
        <f>+I505-F506</f>
        <v>97.5</v>
      </c>
      <c r="J506" s="223">
        <f>+K506/I506</f>
        <v>0.245</v>
      </c>
      <c r="K506" s="223">
        <f>+K505-H506</f>
        <v>23.887499999999999</v>
      </c>
    </row>
    <row r="507" spans="1:11" x14ac:dyDescent="0.25">
      <c r="A507" s="5"/>
      <c r="B507" s="2"/>
      <c r="C507" s="2"/>
      <c r="D507" s="3"/>
      <c r="E507" s="2"/>
      <c r="F507" s="2"/>
      <c r="G507" s="3"/>
      <c r="H507" s="3"/>
      <c r="I507" s="2"/>
      <c r="J507" s="3"/>
      <c r="K507" s="3"/>
    </row>
    <row r="508" spans="1:11" x14ac:dyDescent="0.25">
      <c r="A508" s="5"/>
      <c r="B508" s="2"/>
      <c r="C508" s="2"/>
      <c r="D508" s="3"/>
      <c r="E508" s="2"/>
      <c r="F508" s="2"/>
      <c r="G508" s="3"/>
      <c r="H508" s="3"/>
      <c r="I508" s="2"/>
      <c r="J508" s="3"/>
      <c r="K508" s="3"/>
    </row>
    <row r="511" spans="1:11" ht="15.75" x14ac:dyDescent="0.25">
      <c r="A511" s="456" t="s">
        <v>10</v>
      </c>
      <c r="B511" s="456"/>
      <c r="C511" s="456"/>
      <c r="D511" s="456"/>
      <c r="E511" s="456"/>
      <c r="F511" s="456"/>
      <c r="G511" s="456"/>
      <c r="H511" s="456"/>
      <c r="I511" s="456"/>
      <c r="J511" s="456"/>
      <c r="K511" s="456"/>
    </row>
    <row r="512" spans="1:11" ht="15.75" x14ac:dyDescent="0.25">
      <c r="A512" s="456" t="s">
        <v>11</v>
      </c>
      <c r="B512" s="456"/>
      <c r="C512" s="456"/>
      <c r="D512" s="456"/>
      <c r="E512" s="456"/>
      <c r="F512" s="456"/>
      <c r="G512" s="456"/>
      <c r="H512" s="456"/>
      <c r="I512" s="456"/>
      <c r="J512" s="456"/>
      <c r="K512" s="456"/>
    </row>
    <row r="513" spans="1:11" x14ac:dyDescent="0.25">
      <c r="A513" s="2" t="s">
        <v>8</v>
      </c>
      <c r="B513" s="465" t="s">
        <v>108</v>
      </c>
      <c r="C513" s="466"/>
      <c r="D513" s="466"/>
      <c r="E513" s="467"/>
      <c r="F513" s="9" t="s">
        <v>48</v>
      </c>
      <c r="G513" s="468" t="s">
        <v>49</v>
      </c>
      <c r="H513" s="469"/>
      <c r="I513" s="469"/>
      <c r="J513" s="469"/>
      <c r="K513" s="470"/>
    </row>
    <row r="514" spans="1:11" x14ac:dyDescent="0.25">
      <c r="A514" s="4" t="s">
        <v>9</v>
      </c>
      <c r="B514" s="471" t="s">
        <v>66</v>
      </c>
      <c r="C514" s="471"/>
      <c r="D514" s="471"/>
      <c r="E514" s="471"/>
      <c r="F514" s="11" t="s">
        <v>50</v>
      </c>
      <c r="G514" s="471" t="s">
        <v>104</v>
      </c>
      <c r="H514" s="471"/>
      <c r="I514" s="471"/>
      <c r="J514" s="471"/>
      <c r="K514" s="471"/>
    </row>
    <row r="515" spans="1:11" x14ac:dyDescent="0.25">
      <c r="A515" s="464" t="s">
        <v>0</v>
      </c>
      <c r="B515" s="464" t="s">
        <v>1</v>
      </c>
      <c r="C515" s="464" t="s">
        <v>2</v>
      </c>
      <c r="D515" s="464"/>
      <c r="E515" s="464"/>
      <c r="F515" s="464" t="s">
        <v>3</v>
      </c>
      <c r="G515" s="464"/>
      <c r="H515" s="464"/>
      <c r="I515" s="464" t="s">
        <v>4</v>
      </c>
      <c r="J515" s="464"/>
      <c r="K515" s="464"/>
    </row>
    <row r="516" spans="1:11" x14ac:dyDescent="0.25">
      <c r="A516" s="464"/>
      <c r="B516" s="464"/>
      <c r="C516" s="2" t="s">
        <v>5</v>
      </c>
      <c r="D516" s="3" t="s">
        <v>6</v>
      </c>
      <c r="E516" s="2" t="s">
        <v>7</v>
      </c>
      <c r="F516" s="2" t="s">
        <v>5</v>
      </c>
      <c r="G516" s="3" t="s">
        <v>6</v>
      </c>
      <c r="H516" s="3" t="s">
        <v>7</v>
      </c>
      <c r="I516" s="2" t="s">
        <v>5</v>
      </c>
      <c r="J516" s="3" t="s">
        <v>6</v>
      </c>
      <c r="K516" s="2" t="s">
        <v>7</v>
      </c>
    </row>
    <row r="517" spans="1:11" x14ac:dyDescent="0.25">
      <c r="A517" s="1"/>
      <c r="B517" s="1" t="s">
        <v>42</v>
      </c>
      <c r="C517" s="1"/>
      <c r="D517" s="34"/>
      <c r="E517" s="1"/>
      <c r="F517" s="1"/>
      <c r="G517" s="34"/>
      <c r="H517" s="34"/>
      <c r="I517" s="1">
        <v>0</v>
      </c>
      <c r="J517" s="34">
        <v>0</v>
      </c>
      <c r="K517" s="1">
        <v>0</v>
      </c>
    </row>
    <row r="518" spans="1:11" ht="15.75" x14ac:dyDescent="0.25">
      <c r="A518" s="7">
        <v>42009</v>
      </c>
      <c r="B518" s="8" t="s">
        <v>43</v>
      </c>
      <c r="C518" s="6">
        <v>150</v>
      </c>
      <c r="D518" s="27">
        <f>+E518/C518</f>
        <v>0.28999999999999998</v>
      </c>
      <c r="E518" s="8">
        <v>43.5</v>
      </c>
      <c r="F518" s="8"/>
      <c r="G518" s="27"/>
      <c r="H518" s="27"/>
      <c r="I518" s="6">
        <f>+I517+C518</f>
        <v>150</v>
      </c>
      <c r="J518" s="27">
        <f>+K518/I518</f>
        <v>0.28999999999999998</v>
      </c>
      <c r="K518" s="8">
        <f>+K517+E518</f>
        <v>43.5</v>
      </c>
    </row>
    <row r="519" spans="1:11" x14ac:dyDescent="0.25">
      <c r="A519" s="307"/>
      <c r="B519" s="309" t="s">
        <v>566</v>
      </c>
      <c r="C519" s="222"/>
      <c r="D519" s="223"/>
      <c r="E519" s="222"/>
      <c r="F519" s="222">
        <v>2.5</v>
      </c>
      <c r="G519" s="223">
        <f>+J518</f>
        <v>0.28999999999999998</v>
      </c>
      <c r="H519" s="223">
        <f>+G519*F519</f>
        <v>0.72499999999999998</v>
      </c>
      <c r="I519" s="222">
        <f>+I518-F519</f>
        <v>147.5</v>
      </c>
      <c r="J519" s="342">
        <f>+K519/I519</f>
        <v>0.28999999999999998</v>
      </c>
      <c r="K519" s="223">
        <f>+K518-H519</f>
        <v>42.774999999999999</v>
      </c>
    </row>
    <row r="520" spans="1:11" x14ac:dyDescent="0.25">
      <c r="A520" s="5"/>
      <c r="B520" s="2"/>
      <c r="C520" s="2"/>
      <c r="D520" s="3"/>
      <c r="E520" s="2"/>
      <c r="F520" s="2"/>
      <c r="G520" s="3"/>
      <c r="H520" s="3"/>
      <c r="I520" s="2"/>
      <c r="J520" s="3"/>
      <c r="K520" s="3"/>
    </row>
    <row r="521" spans="1:11" x14ac:dyDescent="0.25">
      <c r="A521" s="5"/>
      <c r="B521" s="2"/>
      <c r="C521" s="2"/>
      <c r="D521" s="3"/>
      <c r="E521" s="2"/>
      <c r="F521" s="2"/>
      <c r="G521" s="3"/>
      <c r="H521" s="3"/>
      <c r="I521" s="2"/>
      <c r="J521" s="3"/>
      <c r="K521" s="3"/>
    </row>
    <row r="525" spans="1:11" ht="15.75" x14ac:dyDescent="0.25">
      <c r="A525" s="456" t="s">
        <v>10</v>
      </c>
      <c r="B525" s="456"/>
      <c r="C525" s="456"/>
      <c r="D525" s="456"/>
      <c r="E525" s="456"/>
      <c r="F525" s="456"/>
      <c r="G525" s="456"/>
      <c r="H525" s="456"/>
      <c r="I525" s="456"/>
      <c r="J525" s="456"/>
      <c r="K525" s="456"/>
    </row>
    <row r="526" spans="1:11" ht="15.75" x14ac:dyDescent="0.25">
      <c r="A526" s="456" t="s">
        <v>11</v>
      </c>
      <c r="B526" s="456"/>
      <c r="C526" s="456"/>
      <c r="D526" s="456"/>
      <c r="E526" s="456"/>
      <c r="F526" s="456"/>
      <c r="G526" s="456"/>
      <c r="H526" s="456"/>
      <c r="I526" s="456"/>
      <c r="J526" s="456"/>
      <c r="K526" s="456"/>
    </row>
    <row r="527" spans="1:11" x14ac:dyDescent="0.25">
      <c r="A527" s="2" t="s">
        <v>8</v>
      </c>
      <c r="B527" s="465" t="s">
        <v>109</v>
      </c>
      <c r="C527" s="466"/>
      <c r="D527" s="466"/>
      <c r="E527" s="467"/>
      <c r="F527" s="9" t="s">
        <v>48</v>
      </c>
      <c r="G527" s="468" t="s">
        <v>49</v>
      </c>
      <c r="H527" s="469"/>
      <c r="I527" s="469"/>
      <c r="J527" s="469"/>
      <c r="K527" s="470"/>
    </row>
    <row r="528" spans="1:11" x14ac:dyDescent="0.25">
      <c r="A528" s="4" t="s">
        <v>9</v>
      </c>
      <c r="B528" s="471" t="s">
        <v>66</v>
      </c>
      <c r="C528" s="471"/>
      <c r="D528" s="471"/>
      <c r="E528" s="471"/>
      <c r="F528" s="11" t="s">
        <v>50</v>
      </c>
      <c r="G528" s="471" t="s">
        <v>91</v>
      </c>
      <c r="H528" s="471"/>
      <c r="I528" s="471"/>
      <c r="J528" s="471"/>
      <c r="K528" s="471"/>
    </row>
    <row r="529" spans="1:11" x14ac:dyDescent="0.25">
      <c r="A529" s="464" t="s">
        <v>0</v>
      </c>
      <c r="B529" s="464" t="s">
        <v>1</v>
      </c>
      <c r="C529" s="464" t="s">
        <v>2</v>
      </c>
      <c r="D529" s="464"/>
      <c r="E529" s="464"/>
      <c r="F529" s="464" t="s">
        <v>3</v>
      </c>
      <c r="G529" s="464"/>
      <c r="H529" s="464"/>
      <c r="I529" s="464" t="s">
        <v>4</v>
      </c>
      <c r="J529" s="464"/>
      <c r="K529" s="464"/>
    </row>
    <row r="530" spans="1:11" x14ac:dyDescent="0.25">
      <c r="A530" s="464"/>
      <c r="B530" s="464"/>
      <c r="C530" s="2" t="s">
        <v>5</v>
      </c>
      <c r="D530" s="3" t="s">
        <v>6</v>
      </c>
      <c r="E530" s="2" t="s">
        <v>7</v>
      </c>
      <c r="F530" s="2" t="s">
        <v>5</v>
      </c>
      <c r="G530" s="3" t="s">
        <v>6</v>
      </c>
      <c r="H530" s="3" t="s">
        <v>7</v>
      </c>
      <c r="I530" s="2" t="s">
        <v>5</v>
      </c>
      <c r="J530" s="3" t="s">
        <v>6</v>
      </c>
      <c r="K530" s="2" t="s">
        <v>7</v>
      </c>
    </row>
    <row r="531" spans="1:11" x14ac:dyDescent="0.25">
      <c r="A531" s="1"/>
      <c r="B531" s="1" t="s">
        <v>42</v>
      </c>
      <c r="C531" s="1"/>
      <c r="D531" s="34"/>
      <c r="E531" s="1"/>
      <c r="F531" s="1"/>
      <c r="G531" s="34"/>
      <c r="H531" s="34"/>
      <c r="I531" s="1">
        <v>0</v>
      </c>
      <c r="J531" s="34">
        <v>0</v>
      </c>
      <c r="K531" s="1">
        <v>0</v>
      </c>
    </row>
    <row r="532" spans="1:11" ht="15.75" x14ac:dyDescent="0.25">
      <c r="A532" s="7">
        <v>42009</v>
      </c>
      <c r="B532" s="8" t="s">
        <v>43</v>
      </c>
      <c r="C532" s="6">
        <v>100</v>
      </c>
      <c r="D532" s="27">
        <f>+E532/C532</f>
        <v>0.245</v>
      </c>
      <c r="E532" s="8">
        <v>24.5</v>
      </c>
      <c r="F532" s="8"/>
      <c r="G532" s="27"/>
      <c r="H532" s="27"/>
      <c r="I532" s="6">
        <f>+I531+C532</f>
        <v>100</v>
      </c>
      <c r="J532" s="27">
        <f>+K532/I532</f>
        <v>0.245</v>
      </c>
      <c r="K532" s="8">
        <f>+K531+E532</f>
        <v>24.5</v>
      </c>
    </row>
    <row r="533" spans="1:11" x14ac:dyDescent="0.25">
      <c r="A533" s="307"/>
      <c r="B533" s="309" t="s">
        <v>542</v>
      </c>
      <c r="C533" s="222"/>
      <c r="D533" s="223"/>
      <c r="E533" s="222"/>
      <c r="F533" s="222">
        <v>2.5</v>
      </c>
      <c r="G533" s="223">
        <f>+J532</f>
        <v>0.245</v>
      </c>
      <c r="H533" s="223">
        <f>+G533*F533</f>
        <v>0.61250000000000004</v>
      </c>
      <c r="I533" s="222">
        <f>+I532-F533</f>
        <v>97.5</v>
      </c>
      <c r="J533" s="342">
        <f>+K533/I533</f>
        <v>0.245</v>
      </c>
      <c r="K533" s="223">
        <f>+K532-H533</f>
        <v>23.887499999999999</v>
      </c>
    </row>
    <row r="534" spans="1:11" x14ac:dyDescent="0.25">
      <c r="A534" s="5"/>
      <c r="B534" s="2"/>
      <c r="C534" s="2"/>
      <c r="D534" s="3"/>
      <c r="E534" s="2"/>
      <c r="F534" s="2"/>
      <c r="G534" s="3"/>
      <c r="H534" s="3"/>
      <c r="I534" s="2"/>
      <c r="J534" s="3"/>
      <c r="K534" s="3"/>
    </row>
    <row r="535" spans="1:11" x14ac:dyDescent="0.25">
      <c r="A535" s="5"/>
      <c r="B535" s="2"/>
      <c r="C535" s="2"/>
      <c r="D535" s="3"/>
      <c r="E535" s="2"/>
      <c r="F535" s="2"/>
      <c r="G535" s="3"/>
      <c r="H535" s="3"/>
      <c r="I535" s="2"/>
      <c r="J535" s="3"/>
      <c r="K535" s="3"/>
    </row>
    <row r="539" spans="1:11" ht="15.75" x14ac:dyDescent="0.25">
      <c r="A539" s="456" t="s">
        <v>10</v>
      </c>
      <c r="B539" s="456"/>
      <c r="C539" s="456"/>
      <c r="D539" s="456"/>
      <c r="E539" s="456"/>
      <c r="F539" s="456"/>
      <c r="G539" s="456"/>
      <c r="H539" s="456"/>
      <c r="I539" s="456"/>
      <c r="J539" s="456"/>
      <c r="K539" s="456"/>
    </row>
    <row r="540" spans="1:11" ht="15.75" x14ac:dyDescent="0.25">
      <c r="A540" s="456" t="s">
        <v>11</v>
      </c>
      <c r="B540" s="456"/>
      <c r="C540" s="456"/>
      <c r="D540" s="456"/>
      <c r="E540" s="456"/>
      <c r="F540" s="456"/>
      <c r="G540" s="456"/>
      <c r="H540" s="456"/>
      <c r="I540" s="456"/>
      <c r="J540" s="456"/>
      <c r="K540" s="456"/>
    </row>
    <row r="541" spans="1:11" x14ac:dyDescent="0.25">
      <c r="A541" s="2" t="s">
        <v>8</v>
      </c>
      <c r="B541" s="465" t="s">
        <v>110</v>
      </c>
      <c r="C541" s="466"/>
      <c r="D541" s="466"/>
      <c r="E541" s="467"/>
      <c r="F541" s="9" t="s">
        <v>48</v>
      </c>
      <c r="G541" s="468" t="s">
        <v>49</v>
      </c>
      <c r="H541" s="469"/>
      <c r="I541" s="469"/>
      <c r="J541" s="469"/>
      <c r="K541" s="470"/>
    </row>
    <row r="542" spans="1:11" x14ac:dyDescent="0.25">
      <c r="A542" s="4" t="s">
        <v>9</v>
      </c>
      <c r="B542" s="471" t="s">
        <v>77</v>
      </c>
      <c r="C542" s="471"/>
      <c r="D542" s="471"/>
      <c r="E542" s="471"/>
      <c r="F542" s="11" t="s">
        <v>50</v>
      </c>
      <c r="G542" s="471" t="s">
        <v>104</v>
      </c>
      <c r="H542" s="471"/>
      <c r="I542" s="471"/>
      <c r="J542" s="471"/>
      <c r="K542" s="471"/>
    </row>
    <row r="543" spans="1:11" x14ac:dyDescent="0.25">
      <c r="A543" s="464" t="s">
        <v>0</v>
      </c>
      <c r="B543" s="464" t="s">
        <v>1</v>
      </c>
      <c r="C543" s="464" t="s">
        <v>2</v>
      </c>
      <c r="D543" s="464"/>
      <c r="E543" s="464"/>
      <c r="F543" s="464" t="s">
        <v>3</v>
      </c>
      <c r="G543" s="464"/>
      <c r="H543" s="464"/>
      <c r="I543" s="464" t="s">
        <v>4</v>
      </c>
      <c r="J543" s="464"/>
      <c r="K543" s="464"/>
    </row>
    <row r="544" spans="1:11" x14ac:dyDescent="0.25">
      <c r="A544" s="464"/>
      <c r="B544" s="464"/>
      <c r="C544" s="2" t="s">
        <v>5</v>
      </c>
      <c r="D544" s="3" t="s">
        <v>6</v>
      </c>
      <c r="E544" s="2" t="s">
        <v>7</v>
      </c>
      <c r="F544" s="2" t="s">
        <v>5</v>
      </c>
      <c r="G544" s="3" t="s">
        <v>6</v>
      </c>
      <c r="H544" s="3" t="s">
        <v>7</v>
      </c>
      <c r="I544" s="2" t="s">
        <v>5</v>
      </c>
      <c r="J544" s="3" t="s">
        <v>6</v>
      </c>
      <c r="K544" s="2" t="s">
        <v>7</v>
      </c>
    </row>
    <row r="545" spans="1:11" x14ac:dyDescent="0.25">
      <c r="A545" s="1"/>
      <c r="B545" s="1" t="s">
        <v>42</v>
      </c>
      <c r="C545" s="1"/>
      <c r="D545" s="34"/>
      <c r="E545" s="1"/>
      <c r="F545" s="1"/>
      <c r="G545" s="34"/>
      <c r="H545" s="34"/>
      <c r="I545" s="1">
        <v>0</v>
      </c>
      <c r="J545" s="34">
        <v>0</v>
      </c>
      <c r="K545" s="1">
        <v>0</v>
      </c>
    </row>
    <row r="546" spans="1:11" ht="15.75" x14ac:dyDescent="0.25">
      <c r="A546" s="7">
        <v>42009</v>
      </c>
      <c r="B546" s="8" t="s">
        <v>43</v>
      </c>
      <c r="C546" s="6">
        <v>50</v>
      </c>
      <c r="D546" s="27">
        <f>+E546/C546</f>
        <v>0.49</v>
      </c>
      <c r="E546" s="8">
        <v>24.5</v>
      </c>
      <c r="F546" s="8"/>
      <c r="G546" s="27"/>
      <c r="H546" s="27"/>
      <c r="I546" s="6">
        <f>+I545+C546</f>
        <v>50</v>
      </c>
      <c r="J546" s="27">
        <f>+K546/I546</f>
        <v>0.49</v>
      </c>
      <c r="K546" s="8">
        <f>+K545+E546</f>
        <v>24.5</v>
      </c>
    </row>
    <row r="547" spans="1:11" ht="30" x14ac:dyDescent="0.25">
      <c r="A547" s="307"/>
      <c r="B547" s="309" t="s">
        <v>574</v>
      </c>
      <c r="C547" s="222"/>
      <c r="D547" s="223"/>
      <c r="E547" s="222"/>
      <c r="F547" s="222">
        <v>2.5</v>
      </c>
      <c r="G547" s="223">
        <f>+J546</f>
        <v>0.49</v>
      </c>
      <c r="H547" s="223">
        <f>+G547*F547</f>
        <v>1.2250000000000001</v>
      </c>
      <c r="I547" s="222">
        <f>+I546-F547</f>
        <v>47.5</v>
      </c>
      <c r="J547" s="223">
        <f>+K547/I547</f>
        <v>0.49</v>
      </c>
      <c r="K547" s="223">
        <f>+K546-H547</f>
        <v>23.274999999999999</v>
      </c>
    </row>
    <row r="548" spans="1:11" x14ac:dyDescent="0.25">
      <c r="A548" s="5"/>
      <c r="B548" s="2"/>
      <c r="C548" s="2"/>
      <c r="D548" s="3"/>
      <c r="E548" s="2"/>
      <c r="F548" s="2"/>
      <c r="G548" s="3"/>
      <c r="H548" s="3"/>
      <c r="I548" s="2"/>
      <c r="J548" s="3"/>
      <c r="K548" s="3"/>
    </row>
    <row r="549" spans="1:11" x14ac:dyDescent="0.25">
      <c r="A549" s="5"/>
      <c r="B549" s="2"/>
      <c r="C549" s="2"/>
      <c r="D549" s="3"/>
      <c r="E549" s="2"/>
      <c r="F549" s="2"/>
      <c r="G549" s="3"/>
      <c r="H549" s="3"/>
      <c r="I549" s="2"/>
      <c r="J549" s="3"/>
      <c r="K549" s="3"/>
    </row>
    <row r="553" spans="1:11" ht="15.75" x14ac:dyDescent="0.25">
      <c r="A553" s="456" t="s">
        <v>10</v>
      </c>
      <c r="B553" s="456"/>
      <c r="C553" s="456"/>
      <c r="D553" s="456"/>
      <c r="E553" s="456"/>
      <c r="F553" s="456"/>
      <c r="G553" s="456"/>
      <c r="H553" s="456"/>
      <c r="I553" s="456"/>
      <c r="J553" s="456"/>
      <c r="K553" s="456"/>
    </row>
    <row r="554" spans="1:11" ht="15.75" x14ac:dyDescent="0.25">
      <c r="A554" s="456" t="s">
        <v>11</v>
      </c>
      <c r="B554" s="456"/>
      <c r="C554" s="456"/>
      <c r="D554" s="456"/>
      <c r="E554" s="456"/>
      <c r="F554" s="456"/>
      <c r="G554" s="456"/>
      <c r="H554" s="456"/>
      <c r="I554" s="456"/>
      <c r="J554" s="456"/>
      <c r="K554" s="456"/>
    </row>
    <row r="555" spans="1:11" x14ac:dyDescent="0.25">
      <c r="A555" s="2" t="s">
        <v>8</v>
      </c>
      <c r="B555" s="465" t="s">
        <v>111</v>
      </c>
      <c r="C555" s="466"/>
      <c r="D555" s="466"/>
      <c r="E555" s="467"/>
      <c r="F555" s="9" t="s">
        <v>48</v>
      </c>
      <c r="G555" s="468" t="s">
        <v>49</v>
      </c>
      <c r="H555" s="469"/>
      <c r="I555" s="469"/>
      <c r="J555" s="469"/>
      <c r="K555" s="470"/>
    </row>
    <row r="556" spans="1:11" x14ac:dyDescent="0.25">
      <c r="A556" s="4" t="s">
        <v>9</v>
      </c>
      <c r="B556" s="471" t="s">
        <v>66</v>
      </c>
      <c r="C556" s="471"/>
      <c r="D556" s="471"/>
      <c r="E556" s="471"/>
      <c r="F556" s="11" t="s">
        <v>50</v>
      </c>
      <c r="G556" s="471" t="s">
        <v>104</v>
      </c>
      <c r="H556" s="471"/>
      <c r="I556" s="471"/>
      <c r="J556" s="471"/>
      <c r="K556" s="471"/>
    </row>
    <row r="557" spans="1:11" x14ac:dyDescent="0.25">
      <c r="A557" s="464" t="s">
        <v>0</v>
      </c>
      <c r="B557" s="464" t="s">
        <v>1</v>
      </c>
      <c r="C557" s="464" t="s">
        <v>2</v>
      </c>
      <c r="D557" s="464"/>
      <c r="E557" s="464"/>
      <c r="F557" s="464" t="s">
        <v>3</v>
      </c>
      <c r="G557" s="464"/>
      <c r="H557" s="464"/>
      <c r="I557" s="464" t="s">
        <v>4</v>
      </c>
      <c r="J557" s="464"/>
      <c r="K557" s="464"/>
    </row>
    <row r="558" spans="1:11" x14ac:dyDescent="0.25">
      <c r="A558" s="464"/>
      <c r="B558" s="464"/>
      <c r="C558" s="2" t="s">
        <v>5</v>
      </c>
      <c r="D558" s="3" t="s">
        <v>6</v>
      </c>
      <c r="E558" s="2" t="s">
        <v>7</v>
      </c>
      <c r="F558" s="2" t="s">
        <v>5</v>
      </c>
      <c r="G558" s="3" t="s">
        <v>6</v>
      </c>
      <c r="H558" s="3" t="s">
        <v>7</v>
      </c>
      <c r="I558" s="2" t="s">
        <v>5</v>
      </c>
      <c r="J558" s="3" t="s">
        <v>6</v>
      </c>
      <c r="K558" s="2" t="s">
        <v>7</v>
      </c>
    </row>
    <row r="559" spans="1:11" x14ac:dyDescent="0.25">
      <c r="A559" s="1"/>
      <c r="B559" s="1" t="s">
        <v>42</v>
      </c>
      <c r="C559" s="1"/>
      <c r="D559" s="34"/>
      <c r="E559" s="1"/>
      <c r="F559" s="1"/>
      <c r="G559" s="34"/>
      <c r="H559" s="34"/>
      <c r="I559" s="1">
        <v>0</v>
      </c>
      <c r="J559" s="34">
        <v>0</v>
      </c>
      <c r="K559" s="1">
        <v>0</v>
      </c>
    </row>
    <row r="560" spans="1:11" ht="15.75" x14ac:dyDescent="0.25">
      <c r="A560" s="7">
        <v>42009</v>
      </c>
      <c r="B560" s="8" t="s">
        <v>43</v>
      </c>
      <c r="C560" s="6">
        <v>100</v>
      </c>
      <c r="D560" s="27">
        <f>+E560/C560</f>
        <v>0.49</v>
      </c>
      <c r="E560" s="8">
        <v>49</v>
      </c>
      <c r="F560" s="8"/>
      <c r="G560" s="27"/>
      <c r="H560" s="27"/>
      <c r="I560" s="6">
        <f>+I559+C560</f>
        <v>100</v>
      </c>
      <c r="J560" s="27">
        <f>+K560/I560</f>
        <v>0.49</v>
      </c>
      <c r="K560" s="8">
        <f>+K559+E560</f>
        <v>49</v>
      </c>
    </row>
    <row r="561" spans="1:11" ht="30" x14ac:dyDescent="0.25">
      <c r="A561" s="307"/>
      <c r="B561" s="309" t="s">
        <v>574</v>
      </c>
      <c r="C561" s="222"/>
      <c r="D561" s="223"/>
      <c r="E561" s="222"/>
      <c r="F561" s="222">
        <v>2.5</v>
      </c>
      <c r="G561" s="223">
        <f>+J560</f>
        <v>0.49</v>
      </c>
      <c r="H561" s="223">
        <f>+G561*F561</f>
        <v>1.2250000000000001</v>
      </c>
      <c r="I561" s="222">
        <f>+I560-F561</f>
        <v>97.5</v>
      </c>
      <c r="J561" s="223">
        <f>+K561/I561</f>
        <v>0.49</v>
      </c>
      <c r="K561" s="223">
        <f>+K560-H561</f>
        <v>47.774999999999999</v>
      </c>
    </row>
    <row r="562" spans="1:11" x14ac:dyDescent="0.25">
      <c r="A562" s="5"/>
      <c r="B562" s="2"/>
      <c r="C562" s="2"/>
      <c r="D562" s="3"/>
      <c r="E562" s="2"/>
      <c r="F562" s="2"/>
      <c r="G562" s="3"/>
      <c r="H562" s="3"/>
      <c r="I562" s="2"/>
      <c r="J562" s="3"/>
      <c r="K562" s="3"/>
    </row>
    <row r="563" spans="1:11" x14ac:dyDescent="0.25">
      <c r="A563" s="5"/>
      <c r="B563" s="2"/>
      <c r="C563" s="2"/>
      <c r="D563" s="3"/>
      <c r="E563" s="2"/>
      <c r="F563" s="2"/>
      <c r="G563" s="3"/>
      <c r="H563" s="3"/>
      <c r="I563" s="2"/>
      <c r="J563" s="3"/>
      <c r="K563" s="3"/>
    </row>
  </sheetData>
  <mergeCells count="385">
    <mergeCell ref="A554:K554"/>
    <mergeCell ref="B555:E555"/>
    <mergeCell ref="G555:K555"/>
    <mergeCell ref="B556:E556"/>
    <mergeCell ref="G556:K556"/>
    <mergeCell ref="A557:A558"/>
    <mergeCell ref="B557:B558"/>
    <mergeCell ref="C557:E557"/>
    <mergeCell ref="F557:H557"/>
    <mergeCell ref="I557:K557"/>
    <mergeCell ref="A543:A544"/>
    <mergeCell ref="B543:B544"/>
    <mergeCell ref="C543:E543"/>
    <mergeCell ref="F543:H543"/>
    <mergeCell ref="I543:K543"/>
    <mergeCell ref="A553:K553"/>
    <mergeCell ref="A539:K539"/>
    <mergeCell ref="A540:K540"/>
    <mergeCell ref="B541:E541"/>
    <mergeCell ref="G541:K541"/>
    <mergeCell ref="B542:E542"/>
    <mergeCell ref="G542:K542"/>
    <mergeCell ref="A526:K526"/>
    <mergeCell ref="B527:E527"/>
    <mergeCell ref="G527:K527"/>
    <mergeCell ref="B528:E528"/>
    <mergeCell ref="G528:K528"/>
    <mergeCell ref="A529:A530"/>
    <mergeCell ref="B529:B530"/>
    <mergeCell ref="C529:E529"/>
    <mergeCell ref="F529:H529"/>
    <mergeCell ref="I529:K529"/>
    <mergeCell ref="A515:A516"/>
    <mergeCell ref="B515:B516"/>
    <mergeCell ref="C515:E515"/>
    <mergeCell ref="F515:H515"/>
    <mergeCell ref="I515:K515"/>
    <mergeCell ref="A525:K525"/>
    <mergeCell ref="A511:K511"/>
    <mergeCell ref="A512:K512"/>
    <mergeCell ref="B513:E513"/>
    <mergeCell ref="G513:K513"/>
    <mergeCell ref="B514:E514"/>
    <mergeCell ref="G514:K514"/>
    <mergeCell ref="A499:K499"/>
    <mergeCell ref="B500:E500"/>
    <mergeCell ref="G500:K500"/>
    <mergeCell ref="B501:E501"/>
    <mergeCell ref="G501:K501"/>
    <mergeCell ref="A502:A503"/>
    <mergeCell ref="B502:B503"/>
    <mergeCell ref="C502:E502"/>
    <mergeCell ref="F502:H502"/>
    <mergeCell ref="I502:K502"/>
    <mergeCell ref="A489:A490"/>
    <mergeCell ref="B489:B490"/>
    <mergeCell ref="C489:E489"/>
    <mergeCell ref="F489:H489"/>
    <mergeCell ref="I489:K489"/>
    <mergeCell ref="A498:K498"/>
    <mergeCell ref="A485:K485"/>
    <mergeCell ref="A486:K486"/>
    <mergeCell ref="B487:E487"/>
    <mergeCell ref="G487:K487"/>
    <mergeCell ref="B488:E488"/>
    <mergeCell ref="G488:K488"/>
    <mergeCell ref="A472:K472"/>
    <mergeCell ref="B473:E473"/>
    <mergeCell ref="G473:K473"/>
    <mergeCell ref="B474:E474"/>
    <mergeCell ref="G474:K474"/>
    <mergeCell ref="A475:A476"/>
    <mergeCell ref="B475:B476"/>
    <mergeCell ref="C475:E475"/>
    <mergeCell ref="F475:H475"/>
    <mergeCell ref="I475:K475"/>
    <mergeCell ref="A461:A462"/>
    <mergeCell ref="B461:B462"/>
    <mergeCell ref="C461:E461"/>
    <mergeCell ref="F461:H461"/>
    <mergeCell ref="I461:K461"/>
    <mergeCell ref="A471:K471"/>
    <mergeCell ref="A457:K457"/>
    <mergeCell ref="A458:K458"/>
    <mergeCell ref="B459:E459"/>
    <mergeCell ref="G459:K459"/>
    <mergeCell ref="B460:E460"/>
    <mergeCell ref="G460:K460"/>
    <mergeCell ref="A444:K444"/>
    <mergeCell ref="B445:E445"/>
    <mergeCell ref="G445:K445"/>
    <mergeCell ref="B446:E446"/>
    <mergeCell ref="G446:K446"/>
    <mergeCell ref="A447:A448"/>
    <mergeCell ref="B447:B448"/>
    <mergeCell ref="C447:E447"/>
    <mergeCell ref="F447:H447"/>
    <mergeCell ref="I447:K447"/>
    <mergeCell ref="A425:A426"/>
    <mergeCell ref="B425:B426"/>
    <mergeCell ref="C425:E425"/>
    <mergeCell ref="F425:H425"/>
    <mergeCell ref="I425:K425"/>
    <mergeCell ref="A443:K443"/>
    <mergeCell ref="A421:K421"/>
    <mergeCell ref="A422:K422"/>
    <mergeCell ref="B423:E423"/>
    <mergeCell ref="G423:K423"/>
    <mergeCell ref="B424:E424"/>
    <mergeCell ref="G424:K424"/>
    <mergeCell ref="A409:K409"/>
    <mergeCell ref="B410:E410"/>
    <mergeCell ref="G410:K410"/>
    <mergeCell ref="B411:E411"/>
    <mergeCell ref="G411:K411"/>
    <mergeCell ref="A412:A413"/>
    <mergeCell ref="B412:B413"/>
    <mergeCell ref="C412:E412"/>
    <mergeCell ref="F412:H412"/>
    <mergeCell ref="I412:K412"/>
    <mergeCell ref="A390:A391"/>
    <mergeCell ref="B390:B391"/>
    <mergeCell ref="C390:E390"/>
    <mergeCell ref="F390:H390"/>
    <mergeCell ref="I390:K390"/>
    <mergeCell ref="A408:K408"/>
    <mergeCell ref="A386:K386"/>
    <mergeCell ref="A387:K387"/>
    <mergeCell ref="B388:E388"/>
    <mergeCell ref="G388:K388"/>
    <mergeCell ref="B389:E389"/>
    <mergeCell ref="G389:K389"/>
    <mergeCell ref="A362:K362"/>
    <mergeCell ref="B363:E363"/>
    <mergeCell ref="G363:K363"/>
    <mergeCell ref="B364:E364"/>
    <mergeCell ref="G364:K364"/>
    <mergeCell ref="A365:A366"/>
    <mergeCell ref="B365:B366"/>
    <mergeCell ref="C365:E365"/>
    <mergeCell ref="F365:H365"/>
    <mergeCell ref="I365:K365"/>
    <mergeCell ref="A343:A344"/>
    <mergeCell ref="B343:B344"/>
    <mergeCell ref="C343:E343"/>
    <mergeCell ref="F343:H343"/>
    <mergeCell ref="I343:K343"/>
    <mergeCell ref="A361:K361"/>
    <mergeCell ref="A339:K339"/>
    <mergeCell ref="A340:K340"/>
    <mergeCell ref="B341:E341"/>
    <mergeCell ref="G341:K341"/>
    <mergeCell ref="B342:E342"/>
    <mergeCell ref="G342:K342"/>
    <mergeCell ref="A321:A322"/>
    <mergeCell ref="B321:B322"/>
    <mergeCell ref="C321:E321"/>
    <mergeCell ref="F321:H321"/>
    <mergeCell ref="I321:K321"/>
    <mergeCell ref="A317:K317"/>
    <mergeCell ref="A318:K318"/>
    <mergeCell ref="B319:E319"/>
    <mergeCell ref="G319:K319"/>
    <mergeCell ref="B320:E320"/>
    <mergeCell ref="G320:K320"/>
    <mergeCell ref="A304:K304"/>
    <mergeCell ref="B305:E305"/>
    <mergeCell ref="G305:K305"/>
    <mergeCell ref="B306:E306"/>
    <mergeCell ref="G306:K306"/>
    <mergeCell ref="A307:A308"/>
    <mergeCell ref="B307:B308"/>
    <mergeCell ref="C307:E307"/>
    <mergeCell ref="F307:H307"/>
    <mergeCell ref="I307:K307"/>
    <mergeCell ref="A294:A295"/>
    <mergeCell ref="B294:B295"/>
    <mergeCell ref="C294:E294"/>
    <mergeCell ref="F294:H294"/>
    <mergeCell ref="I294:K294"/>
    <mergeCell ref="A303:K303"/>
    <mergeCell ref="A290:K290"/>
    <mergeCell ref="A291:K291"/>
    <mergeCell ref="B292:E292"/>
    <mergeCell ref="G292:K292"/>
    <mergeCell ref="B293:E293"/>
    <mergeCell ref="G293:K293"/>
    <mergeCell ref="A258:K258"/>
    <mergeCell ref="B259:E259"/>
    <mergeCell ref="G259:K259"/>
    <mergeCell ref="B260:E260"/>
    <mergeCell ref="G260:K260"/>
    <mergeCell ref="A261:A262"/>
    <mergeCell ref="B261:B262"/>
    <mergeCell ref="C261:E261"/>
    <mergeCell ref="F261:H261"/>
    <mergeCell ref="I261:K261"/>
    <mergeCell ref="A247:A248"/>
    <mergeCell ref="B247:B248"/>
    <mergeCell ref="C247:E247"/>
    <mergeCell ref="F247:H247"/>
    <mergeCell ref="I247:K247"/>
    <mergeCell ref="A257:K257"/>
    <mergeCell ref="A243:K243"/>
    <mergeCell ref="A244:K244"/>
    <mergeCell ref="B245:E245"/>
    <mergeCell ref="G245:K245"/>
    <mergeCell ref="B246:E246"/>
    <mergeCell ref="G246:K246"/>
    <mergeCell ref="A230:K230"/>
    <mergeCell ref="B231:E231"/>
    <mergeCell ref="G231:K231"/>
    <mergeCell ref="B232:E232"/>
    <mergeCell ref="G232:K232"/>
    <mergeCell ref="A233:A234"/>
    <mergeCell ref="B233:B234"/>
    <mergeCell ref="C233:E233"/>
    <mergeCell ref="F233:H233"/>
    <mergeCell ref="I233:K233"/>
    <mergeCell ref="A211:A212"/>
    <mergeCell ref="B211:B212"/>
    <mergeCell ref="C211:E211"/>
    <mergeCell ref="F211:H211"/>
    <mergeCell ref="I211:K211"/>
    <mergeCell ref="A229:K229"/>
    <mergeCell ref="A207:K207"/>
    <mergeCell ref="A208:K208"/>
    <mergeCell ref="B209:E209"/>
    <mergeCell ref="G209:K209"/>
    <mergeCell ref="B210:E210"/>
    <mergeCell ref="G210:K210"/>
    <mergeCell ref="A185:K185"/>
    <mergeCell ref="B186:E186"/>
    <mergeCell ref="G186:K186"/>
    <mergeCell ref="B187:E187"/>
    <mergeCell ref="G187:K187"/>
    <mergeCell ref="A188:A189"/>
    <mergeCell ref="B188:B189"/>
    <mergeCell ref="C188:E188"/>
    <mergeCell ref="F188:H188"/>
    <mergeCell ref="I188:K188"/>
    <mergeCell ref="A174:A175"/>
    <mergeCell ref="B174:B175"/>
    <mergeCell ref="C174:E174"/>
    <mergeCell ref="F174:H174"/>
    <mergeCell ref="I174:K174"/>
    <mergeCell ref="A184:K184"/>
    <mergeCell ref="A170:K170"/>
    <mergeCell ref="A171:K171"/>
    <mergeCell ref="B172:E172"/>
    <mergeCell ref="G172:K172"/>
    <mergeCell ref="B173:E173"/>
    <mergeCell ref="G173:K173"/>
    <mergeCell ref="A149:K149"/>
    <mergeCell ref="A150:K150"/>
    <mergeCell ref="B151:E151"/>
    <mergeCell ref="G151:K151"/>
    <mergeCell ref="B152:E152"/>
    <mergeCell ref="G152:K152"/>
    <mergeCell ref="A153:A154"/>
    <mergeCell ref="B153:B154"/>
    <mergeCell ref="C153:E153"/>
    <mergeCell ref="F153:H153"/>
    <mergeCell ref="I153:K153"/>
    <mergeCell ref="A139:A140"/>
    <mergeCell ref="B139:B140"/>
    <mergeCell ref="C139:E139"/>
    <mergeCell ref="F139:H139"/>
    <mergeCell ref="I139:K139"/>
    <mergeCell ref="A135:K135"/>
    <mergeCell ref="A136:K136"/>
    <mergeCell ref="B137:E137"/>
    <mergeCell ref="G137:K137"/>
    <mergeCell ref="B138:E138"/>
    <mergeCell ref="G138:K138"/>
    <mergeCell ref="A123:K123"/>
    <mergeCell ref="B124:E124"/>
    <mergeCell ref="G124:K124"/>
    <mergeCell ref="B125:E125"/>
    <mergeCell ref="G125:K125"/>
    <mergeCell ref="A126:A127"/>
    <mergeCell ref="B126:B127"/>
    <mergeCell ref="C126:E126"/>
    <mergeCell ref="F126:H126"/>
    <mergeCell ref="I126:K126"/>
    <mergeCell ref="A112:A113"/>
    <mergeCell ref="B112:B113"/>
    <mergeCell ref="C112:E112"/>
    <mergeCell ref="F112:H112"/>
    <mergeCell ref="I112:K112"/>
    <mergeCell ref="A122:K122"/>
    <mergeCell ref="A108:K108"/>
    <mergeCell ref="A109:K109"/>
    <mergeCell ref="B110:E110"/>
    <mergeCell ref="G110:K110"/>
    <mergeCell ref="B111:E111"/>
    <mergeCell ref="G111:K111"/>
    <mergeCell ref="A96:K96"/>
    <mergeCell ref="B97:E97"/>
    <mergeCell ref="G97:K97"/>
    <mergeCell ref="B98:E98"/>
    <mergeCell ref="G98:K98"/>
    <mergeCell ref="A99:A100"/>
    <mergeCell ref="B99:B100"/>
    <mergeCell ref="C99:E99"/>
    <mergeCell ref="F99:H99"/>
    <mergeCell ref="I99:K99"/>
    <mergeCell ref="A87:A88"/>
    <mergeCell ref="B87:B88"/>
    <mergeCell ref="C87:E87"/>
    <mergeCell ref="F87:H87"/>
    <mergeCell ref="I87:K87"/>
    <mergeCell ref="A95:K95"/>
    <mergeCell ref="A83:K83"/>
    <mergeCell ref="A84:K84"/>
    <mergeCell ref="B85:E85"/>
    <mergeCell ref="G85:K85"/>
    <mergeCell ref="B86:E86"/>
    <mergeCell ref="G86:K86"/>
    <mergeCell ref="A71:K71"/>
    <mergeCell ref="B72:E72"/>
    <mergeCell ref="G72:K72"/>
    <mergeCell ref="B73:E73"/>
    <mergeCell ref="G73:K73"/>
    <mergeCell ref="A74:A75"/>
    <mergeCell ref="B74:B75"/>
    <mergeCell ref="C74:E74"/>
    <mergeCell ref="F74:H74"/>
    <mergeCell ref="I74:K74"/>
    <mergeCell ref="A60:A61"/>
    <mergeCell ref="B60:B61"/>
    <mergeCell ref="C60:E60"/>
    <mergeCell ref="F60:H60"/>
    <mergeCell ref="I60:K60"/>
    <mergeCell ref="A70:K70"/>
    <mergeCell ref="A56:K56"/>
    <mergeCell ref="A57:K57"/>
    <mergeCell ref="B58:E58"/>
    <mergeCell ref="G58:K58"/>
    <mergeCell ref="B59:E59"/>
    <mergeCell ref="G59:K59"/>
    <mergeCell ref="A44:K44"/>
    <mergeCell ref="B45:E45"/>
    <mergeCell ref="G45:K45"/>
    <mergeCell ref="B46:E46"/>
    <mergeCell ref="G46:K46"/>
    <mergeCell ref="A47:A48"/>
    <mergeCell ref="B47:B48"/>
    <mergeCell ref="C47:E47"/>
    <mergeCell ref="F47:H47"/>
    <mergeCell ref="I47:K47"/>
    <mergeCell ref="A34:A35"/>
    <mergeCell ref="B34:B35"/>
    <mergeCell ref="C34:E34"/>
    <mergeCell ref="F34:H34"/>
    <mergeCell ref="I34:K34"/>
    <mergeCell ref="A43:K43"/>
    <mergeCell ref="A30:K30"/>
    <mergeCell ref="A31:K31"/>
    <mergeCell ref="B32:E32"/>
    <mergeCell ref="G32:K32"/>
    <mergeCell ref="B33:E33"/>
    <mergeCell ref="G33:K33"/>
    <mergeCell ref="A17:K17"/>
    <mergeCell ref="B18:E18"/>
    <mergeCell ref="G18:K18"/>
    <mergeCell ref="B19:E19"/>
    <mergeCell ref="G19:K19"/>
    <mergeCell ref="A20:A21"/>
    <mergeCell ref="B20:B21"/>
    <mergeCell ref="C20:E20"/>
    <mergeCell ref="F20:H20"/>
    <mergeCell ref="I20:K20"/>
    <mergeCell ref="A6:A7"/>
    <mergeCell ref="B6:B7"/>
    <mergeCell ref="C6:E6"/>
    <mergeCell ref="F6:H6"/>
    <mergeCell ref="I6:K6"/>
    <mergeCell ref="A16:K16"/>
    <mergeCell ref="A2:K2"/>
    <mergeCell ref="A3:K3"/>
    <mergeCell ref="B4:E4"/>
    <mergeCell ref="G4:K4"/>
    <mergeCell ref="B5:E5"/>
    <mergeCell ref="G5:K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2"/>
  <sheetViews>
    <sheetView topLeftCell="A544" zoomScale="90" zoomScaleNormal="90" workbookViewId="0">
      <selection activeCell="F551" sqref="F551"/>
    </sheetView>
  </sheetViews>
  <sheetFormatPr baseColWidth="10" defaultRowHeight="15" x14ac:dyDescent="0.25"/>
  <cols>
    <col min="2" max="2" width="36.140625" customWidth="1"/>
    <col min="4" max="4" width="11.42578125" style="35"/>
    <col min="7" max="7" width="11.42578125" style="35"/>
    <col min="10" max="10" width="11.42578125" style="35"/>
  </cols>
  <sheetData>
    <row r="1" spans="1:11" ht="15.75" x14ac:dyDescent="0.25">
      <c r="A1" s="456" t="s">
        <v>10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</row>
    <row r="2" spans="1:11" ht="15.75" x14ac:dyDescent="0.25">
      <c r="A2" s="456" t="s">
        <v>11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</row>
    <row r="3" spans="1:11" x14ac:dyDescent="0.25">
      <c r="A3" s="2" t="s">
        <v>8</v>
      </c>
      <c r="B3" s="465" t="s">
        <v>112</v>
      </c>
      <c r="C3" s="466"/>
      <c r="D3" s="466"/>
      <c r="E3" s="467"/>
      <c r="F3" s="9" t="s">
        <v>48</v>
      </c>
      <c r="G3" s="468" t="s">
        <v>49</v>
      </c>
      <c r="H3" s="469"/>
      <c r="I3" s="469"/>
      <c r="J3" s="469"/>
      <c r="K3" s="470"/>
    </row>
    <row r="4" spans="1:11" x14ac:dyDescent="0.25">
      <c r="A4" s="4" t="s">
        <v>9</v>
      </c>
      <c r="B4" s="471" t="s">
        <v>66</v>
      </c>
      <c r="C4" s="471"/>
      <c r="D4" s="471"/>
      <c r="E4" s="471"/>
      <c r="F4" s="11" t="s">
        <v>50</v>
      </c>
      <c r="G4" s="471" t="s">
        <v>91</v>
      </c>
      <c r="H4" s="471"/>
      <c r="I4" s="471"/>
      <c r="J4" s="471"/>
      <c r="K4" s="471"/>
    </row>
    <row r="5" spans="1:11" x14ac:dyDescent="0.25">
      <c r="A5" s="464" t="s">
        <v>0</v>
      </c>
      <c r="B5" s="464" t="s">
        <v>1</v>
      </c>
      <c r="C5" s="464" t="s">
        <v>2</v>
      </c>
      <c r="D5" s="464"/>
      <c r="E5" s="464"/>
      <c r="F5" s="464" t="s">
        <v>3</v>
      </c>
      <c r="G5" s="464"/>
      <c r="H5" s="464"/>
      <c r="I5" s="464" t="s">
        <v>4</v>
      </c>
      <c r="J5" s="464"/>
      <c r="K5" s="464"/>
    </row>
    <row r="6" spans="1:11" x14ac:dyDescent="0.25">
      <c r="A6" s="464"/>
      <c r="B6" s="464"/>
      <c r="C6" s="2" t="s">
        <v>5</v>
      </c>
      <c r="D6" s="3" t="s">
        <v>6</v>
      </c>
      <c r="E6" s="2" t="s">
        <v>7</v>
      </c>
      <c r="F6" s="2" t="s">
        <v>5</v>
      </c>
      <c r="G6" s="3" t="s">
        <v>6</v>
      </c>
      <c r="H6" s="2" t="s">
        <v>7</v>
      </c>
      <c r="I6" s="2" t="s">
        <v>5</v>
      </c>
      <c r="J6" s="3" t="s">
        <v>6</v>
      </c>
      <c r="K6" s="2" t="s">
        <v>7</v>
      </c>
    </row>
    <row r="7" spans="1:11" x14ac:dyDescent="0.25">
      <c r="A7" s="1"/>
      <c r="B7" s="1" t="s">
        <v>42</v>
      </c>
      <c r="C7" s="1"/>
      <c r="D7" s="34"/>
      <c r="E7" s="1"/>
      <c r="F7" s="1"/>
      <c r="G7" s="34"/>
      <c r="H7" s="1"/>
      <c r="I7" s="1">
        <v>0</v>
      </c>
      <c r="J7" s="34">
        <v>0</v>
      </c>
      <c r="K7" s="1">
        <v>0</v>
      </c>
    </row>
    <row r="8" spans="1:11" ht="15.75" x14ac:dyDescent="0.25">
      <c r="A8" s="7">
        <v>42009</v>
      </c>
      <c r="B8" s="8" t="s">
        <v>43</v>
      </c>
      <c r="C8" s="6">
        <v>200</v>
      </c>
      <c r="D8" s="27">
        <f>+E8/C8</f>
        <v>0.48249999999999998</v>
      </c>
      <c r="E8" s="8">
        <v>96.5</v>
      </c>
      <c r="F8" s="8"/>
      <c r="G8" s="27"/>
      <c r="H8" s="8"/>
      <c r="I8" s="6">
        <f>+I7+C8</f>
        <v>200</v>
      </c>
      <c r="J8" s="27">
        <f>+K8/I8</f>
        <v>0.48249999999999998</v>
      </c>
      <c r="K8" s="8">
        <f>+K7+E8</f>
        <v>96.5</v>
      </c>
    </row>
    <row r="9" spans="1:11" ht="30" x14ac:dyDescent="0.25">
      <c r="A9" s="307"/>
      <c r="B9" s="309" t="s">
        <v>546</v>
      </c>
      <c r="C9" s="222"/>
      <c r="D9" s="223"/>
      <c r="E9" s="222"/>
      <c r="F9" s="222">
        <v>2</v>
      </c>
      <c r="G9" s="223">
        <f>+J8</f>
        <v>0.48249999999999998</v>
      </c>
      <c r="H9" s="223">
        <f>+G9*F9</f>
        <v>0.96499999999999997</v>
      </c>
      <c r="I9" s="222">
        <f>+I8-F9</f>
        <v>198</v>
      </c>
      <c r="J9" s="342">
        <f>+K9/I9</f>
        <v>0.48249999999999998</v>
      </c>
      <c r="K9" s="223">
        <f>+K8-H9</f>
        <v>95.534999999999997</v>
      </c>
    </row>
    <row r="10" spans="1:11" x14ac:dyDescent="0.25">
      <c r="A10" s="5"/>
      <c r="B10" s="2"/>
      <c r="C10" s="2"/>
      <c r="D10" s="3"/>
      <c r="E10" s="2"/>
      <c r="F10" s="2"/>
      <c r="G10" s="3"/>
      <c r="H10" s="2"/>
      <c r="I10" s="2"/>
      <c r="J10" s="3"/>
      <c r="K10" s="3"/>
    </row>
    <row r="11" spans="1:11" x14ac:dyDescent="0.25">
      <c r="A11" s="5"/>
      <c r="B11" s="2"/>
      <c r="C11" s="2"/>
      <c r="D11" s="3"/>
      <c r="E11" s="2"/>
      <c r="F11" s="2"/>
      <c r="G11" s="3"/>
      <c r="H11" s="3"/>
      <c r="I11" s="2"/>
      <c r="J11" s="3"/>
      <c r="K11" s="3"/>
    </row>
    <row r="14" spans="1:11" ht="15.75" x14ac:dyDescent="0.25">
      <c r="A14" s="456" t="s">
        <v>10</v>
      </c>
      <c r="B14" s="456"/>
      <c r="C14" s="456"/>
      <c r="D14" s="456"/>
      <c r="E14" s="456"/>
      <c r="F14" s="456"/>
      <c r="G14" s="456"/>
      <c r="H14" s="456"/>
      <c r="I14" s="456"/>
      <c r="J14" s="456"/>
      <c r="K14" s="456"/>
    </row>
    <row r="15" spans="1:11" ht="15.75" x14ac:dyDescent="0.25">
      <c r="A15" s="456" t="s">
        <v>11</v>
      </c>
      <c r="B15" s="456"/>
      <c r="C15" s="456"/>
      <c r="D15" s="456"/>
      <c r="E15" s="456"/>
      <c r="F15" s="456"/>
      <c r="G15" s="456"/>
      <c r="H15" s="456"/>
      <c r="I15" s="456"/>
      <c r="J15" s="456"/>
      <c r="K15" s="456"/>
    </row>
    <row r="16" spans="1:11" x14ac:dyDescent="0.25">
      <c r="A16" s="2" t="s">
        <v>8</v>
      </c>
      <c r="B16" s="465" t="s">
        <v>113</v>
      </c>
      <c r="C16" s="466"/>
      <c r="D16" s="466"/>
      <c r="E16" s="467"/>
      <c r="F16" s="9" t="s">
        <v>48</v>
      </c>
      <c r="G16" s="468" t="s">
        <v>49</v>
      </c>
      <c r="H16" s="469"/>
      <c r="I16" s="469"/>
      <c r="J16" s="469"/>
      <c r="K16" s="470"/>
    </row>
    <row r="17" spans="1:11" x14ac:dyDescent="0.25">
      <c r="A17" s="4" t="s">
        <v>9</v>
      </c>
      <c r="B17" s="471" t="s">
        <v>66</v>
      </c>
      <c r="C17" s="471"/>
      <c r="D17" s="471"/>
      <c r="E17" s="471"/>
      <c r="F17" s="11" t="s">
        <v>50</v>
      </c>
      <c r="G17" s="471" t="s">
        <v>91</v>
      </c>
      <c r="H17" s="471"/>
      <c r="I17" s="471"/>
      <c r="J17" s="471"/>
      <c r="K17" s="471"/>
    </row>
    <row r="18" spans="1:11" x14ac:dyDescent="0.25">
      <c r="A18" s="464" t="s">
        <v>0</v>
      </c>
      <c r="B18" s="464" t="s">
        <v>1</v>
      </c>
      <c r="C18" s="464" t="s">
        <v>2</v>
      </c>
      <c r="D18" s="464"/>
      <c r="E18" s="464"/>
      <c r="F18" s="464" t="s">
        <v>3</v>
      </c>
      <c r="G18" s="464"/>
      <c r="H18" s="464"/>
      <c r="I18" s="464" t="s">
        <v>4</v>
      </c>
      <c r="J18" s="464"/>
      <c r="K18" s="464"/>
    </row>
    <row r="19" spans="1:11" x14ac:dyDescent="0.25">
      <c r="A19" s="464"/>
      <c r="B19" s="464"/>
      <c r="C19" s="2" t="s">
        <v>5</v>
      </c>
      <c r="D19" s="3" t="s">
        <v>6</v>
      </c>
      <c r="E19" s="2" t="s">
        <v>7</v>
      </c>
      <c r="F19" s="2" t="s">
        <v>5</v>
      </c>
      <c r="G19" s="3" t="s">
        <v>6</v>
      </c>
      <c r="H19" s="2" t="s">
        <v>7</v>
      </c>
      <c r="I19" s="2" t="s">
        <v>5</v>
      </c>
      <c r="J19" s="3" t="s">
        <v>6</v>
      </c>
      <c r="K19" s="2" t="s">
        <v>7</v>
      </c>
    </row>
    <row r="20" spans="1:11" x14ac:dyDescent="0.25">
      <c r="A20" s="1"/>
      <c r="B20" s="1" t="s">
        <v>42</v>
      </c>
      <c r="C20" s="1"/>
      <c r="D20" s="34"/>
      <c r="E20" s="1"/>
      <c r="F20" s="1"/>
      <c r="G20" s="34"/>
      <c r="H20" s="1"/>
      <c r="I20" s="1">
        <v>0</v>
      </c>
      <c r="J20" s="34">
        <v>0</v>
      </c>
      <c r="K20" s="1">
        <v>0</v>
      </c>
    </row>
    <row r="21" spans="1:11" ht="15.75" x14ac:dyDescent="0.25">
      <c r="A21" s="7">
        <v>42009</v>
      </c>
      <c r="B21" s="8" t="s">
        <v>43</v>
      </c>
      <c r="C21" s="6">
        <v>300</v>
      </c>
      <c r="D21" s="27">
        <f>+E21/C21</f>
        <v>0.48249999999999998</v>
      </c>
      <c r="E21" s="8">
        <v>144.75</v>
      </c>
      <c r="F21" s="8"/>
      <c r="G21" s="27"/>
      <c r="H21" s="8"/>
      <c r="I21" s="36">
        <f>+I20+C21</f>
        <v>300</v>
      </c>
      <c r="J21" s="27">
        <f>+K21/I21</f>
        <v>0.48249999999999998</v>
      </c>
      <c r="K21" s="8">
        <f>+K20+E21</f>
        <v>144.75</v>
      </c>
    </row>
    <row r="22" spans="1:11" ht="30" x14ac:dyDescent="0.25">
      <c r="A22" s="307"/>
      <c r="B22" s="309" t="s">
        <v>549</v>
      </c>
      <c r="C22" s="222"/>
      <c r="D22" s="223"/>
      <c r="E22" s="222"/>
      <c r="F22" s="222">
        <v>2</v>
      </c>
      <c r="G22" s="223">
        <f>+J21</f>
        <v>0.48249999999999998</v>
      </c>
      <c r="H22" s="222">
        <f>+G22*F22</f>
        <v>0.96499999999999997</v>
      </c>
      <c r="I22" s="306">
        <f>+I21-F22</f>
        <v>298</v>
      </c>
      <c r="J22" s="342">
        <f>+K22/I22</f>
        <v>0.48249999999999998</v>
      </c>
      <c r="K22" s="223">
        <f>+K21-H22</f>
        <v>143.785</v>
      </c>
    </row>
    <row r="23" spans="1:11" x14ac:dyDescent="0.25">
      <c r="A23" s="5"/>
      <c r="B23" s="2"/>
      <c r="C23" s="2"/>
      <c r="D23" s="3"/>
      <c r="E23" s="2"/>
      <c r="F23" s="2"/>
      <c r="G23" s="3"/>
      <c r="H23" s="2"/>
      <c r="I23" s="2"/>
      <c r="J23" s="3"/>
      <c r="K23" s="3"/>
    </row>
    <row r="24" spans="1:11" x14ac:dyDescent="0.25">
      <c r="A24" s="5"/>
      <c r="B24" s="2"/>
      <c r="C24" s="2"/>
      <c r="D24" s="3"/>
      <c r="E24" s="2"/>
      <c r="F24" s="2"/>
      <c r="G24" s="3"/>
      <c r="H24" s="3"/>
      <c r="I24" s="2"/>
      <c r="J24" s="3"/>
      <c r="K24" s="3"/>
    </row>
    <row r="27" spans="1:11" ht="15.75" x14ac:dyDescent="0.25">
      <c r="A27" s="456" t="s">
        <v>10</v>
      </c>
      <c r="B27" s="456"/>
      <c r="C27" s="456"/>
      <c r="D27" s="456"/>
      <c r="E27" s="456"/>
      <c r="F27" s="456"/>
      <c r="G27" s="456"/>
      <c r="H27" s="456"/>
      <c r="I27" s="456"/>
      <c r="J27" s="456"/>
      <c r="K27" s="456"/>
    </row>
    <row r="28" spans="1:11" ht="15.75" x14ac:dyDescent="0.25">
      <c r="A28" s="456" t="s">
        <v>11</v>
      </c>
      <c r="B28" s="456"/>
      <c r="C28" s="456"/>
      <c r="D28" s="456"/>
      <c r="E28" s="456"/>
      <c r="F28" s="456"/>
      <c r="G28" s="456"/>
      <c r="H28" s="456"/>
      <c r="I28" s="456"/>
      <c r="J28" s="456"/>
      <c r="K28" s="456"/>
    </row>
    <row r="29" spans="1:11" x14ac:dyDescent="0.25">
      <c r="A29" s="2" t="s">
        <v>8</v>
      </c>
      <c r="B29" s="465" t="s">
        <v>114</v>
      </c>
      <c r="C29" s="466"/>
      <c r="D29" s="466"/>
      <c r="E29" s="467"/>
      <c r="F29" s="9" t="s">
        <v>48</v>
      </c>
      <c r="G29" s="468" t="s">
        <v>49</v>
      </c>
      <c r="H29" s="469"/>
      <c r="I29" s="469"/>
      <c r="J29" s="469"/>
      <c r="K29" s="470"/>
    </row>
    <row r="30" spans="1:11" x14ac:dyDescent="0.25">
      <c r="A30" s="4" t="s">
        <v>9</v>
      </c>
      <c r="B30" s="471" t="s">
        <v>66</v>
      </c>
      <c r="C30" s="471"/>
      <c r="D30" s="471"/>
      <c r="E30" s="471"/>
      <c r="F30" s="11" t="s">
        <v>50</v>
      </c>
      <c r="G30" s="471" t="s">
        <v>67</v>
      </c>
      <c r="H30" s="471"/>
      <c r="I30" s="471"/>
      <c r="J30" s="471"/>
      <c r="K30" s="471"/>
    </row>
    <row r="31" spans="1:11" x14ac:dyDescent="0.25">
      <c r="A31" s="464" t="s">
        <v>0</v>
      </c>
      <c r="B31" s="464" t="s">
        <v>1</v>
      </c>
      <c r="C31" s="464" t="s">
        <v>2</v>
      </c>
      <c r="D31" s="464"/>
      <c r="E31" s="464"/>
      <c r="F31" s="464" t="s">
        <v>3</v>
      </c>
      <c r="G31" s="464"/>
      <c r="H31" s="464"/>
      <c r="I31" s="464" t="s">
        <v>4</v>
      </c>
      <c r="J31" s="464"/>
      <c r="K31" s="464"/>
    </row>
    <row r="32" spans="1:11" x14ac:dyDescent="0.25">
      <c r="A32" s="464"/>
      <c r="B32" s="464"/>
      <c r="C32" s="2" t="s">
        <v>5</v>
      </c>
      <c r="D32" s="3" t="s">
        <v>6</v>
      </c>
      <c r="E32" s="2" t="s">
        <v>7</v>
      </c>
      <c r="F32" s="2" t="s">
        <v>5</v>
      </c>
      <c r="G32" s="3" t="s">
        <v>6</v>
      </c>
      <c r="H32" s="2" t="s">
        <v>7</v>
      </c>
      <c r="I32" s="2" t="s">
        <v>5</v>
      </c>
      <c r="J32" s="3" t="s">
        <v>6</v>
      </c>
      <c r="K32" s="2" t="s">
        <v>7</v>
      </c>
    </row>
    <row r="33" spans="1:11" x14ac:dyDescent="0.25">
      <c r="A33" s="1"/>
      <c r="B33" s="1" t="s">
        <v>42</v>
      </c>
      <c r="C33" s="1"/>
      <c r="D33" s="34"/>
      <c r="E33" s="1"/>
      <c r="F33" s="1"/>
      <c r="G33" s="34"/>
      <c r="H33" s="1"/>
      <c r="I33" s="1">
        <v>0</v>
      </c>
      <c r="J33" s="34">
        <v>0</v>
      </c>
      <c r="K33" s="1">
        <v>0</v>
      </c>
    </row>
    <row r="34" spans="1:11" ht="15.75" x14ac:dyDescent="0.25">
      <c r="A34" s="7">
        <v>42009</v>
      </c>
      <c r="B34" s="8" t="s">
        <v>43</v>
      </c>
      <c r="C34" s="6">
        <v>500</v>
      </c>
      <c r="D34" s="27">
        <f>+E34/C34</f>
        <v>0.124</v>
      </c>
      <c r="E34" s="8">
        <v>62</v>
      </c>
      <c r="F34" s="8"/>
      <c r="G34" s="27"/>
      <c r="H34" s="8"/>
      <c r="I34" s="6">
        <f>+I33+C34</f>
        <v>500</v>
      </c>
      <c r="J34" s="27">
        <f>+K34/I34</f>
        <v>0.124</v>
      </c>
      <c r="K34" s="8">
        <f>+K33+E34</f>
        <v>62</v>
      </c>
    </row>
    <row r="35" spans="1:11" ht="30" x14ac:dyDescent="0.25">
      <c r="A35" s="307"/>
      <c r="B35" s="309" t="s">
        <v>607</v>
      </c>
      <c r="C35" s="222"/>
      <c r="D35" s="223"/>
      <c r="E35" s="222"/>
      <c r="F35" s="222">
        <v>2</v>
      </c>
      <c r="G35" s="223">
        <f>+J34</f>
        <v>0.124</v>
      </c>
      <c r="H35" s="222">
        <f>+G35*F35</f>
        <v>0.248</v>
      </c>
      <c r="I35" s="223">
        <f>+I34-G35</f>
        <v>499.87599999999998</v>
      </c>
      <c r="J35" s="223">
        <f>+K35/I35</f>
        <v>0.12353463658987431</v>
      </c>
      <c r="K35" s="223">
        <f>+K34-H35</f>
        <v>61.752000000000002</v>
      </c>
    </row>
    <row r="36" spans="1:11" x14ac:dyDescent="0.25">
      <c r="A36" s="5"/>
      <c r="B36" s="2"/>
      <c r="C36" s="2"/>
      <c r="D36" s="3"/>
      <c r="E36" s="2"/>
      <c r="F36" s="2"/>
      <c r="G36" s="3"/>
      <c r="H36" s="2"/>
      <c r="I36" s="2"/>
      <c r="J36" s="3"/>
      <c r="K36" s="3"/>
    </row>
    <row r="37" spans="1:11" x14ac:dyDescent="0.25">
      <c r="A37" s="5"/>
      <c r="B37" s="2"/>
      <c r="C37" s="2"/>
      <c r="D37" s="3"/>
      <c r="E37" s="2"/>
      <c r="F37" s="2"/>
      <c r="G37" s="3"/>
      <c r="H37" s="3"/>
      <c r="I37" s="2"/>
      <c r="J37" s="3"/>
      <c r="K37" s="3"/>
    </row>
    <row r="40" spans="1:11" ht="15.75" x14ac:dyDescent="0.25">
      <c r="A40" s="456" t="s">
        <v>10</v>
      </c>
      <c r="B40" s="456"/>
      <c r="C40" s="456"/>
      <c r="D40" s="456"/>
      <c r="E40" s="456"/>
      <c r="F40" s="456"/>
      <c r="G40" s="456"/>
      <c r="H40" s="456"/>
      <c r="I40" s="456"/>
      <c r="J40" s="456"/>
      <c r="K40" s="456"/>
    </row>
    <row r="41" spans="1:11" ht="15.75" x14ac:dyDescent="0.25">
      <c r="A41" s="456" t="s">
        <v>11</v>
      </c>
      <c r="B41" s="456"/>
      <c r="C41" s="456"/>
      <c r="D41" s="456"/>
      <c r="E41" s="456"/>
      <c r="F41" s="456"/>
      <c r="G41" s="456"/>
      <c r="H41" s="456"/>
      <c r="I41" s="456"/>
      <c r="J41" s="456"/>
      <c r="K41" s="456"/>
    </row>
    <row r="42" spans="1:11" x14ac:dyDescent="0.25">
      <c r="A42" s="2" t="s">
        <v>8</v>
      </c>
      <c r="B42" s="465" t="s">
        <v>115</v>
      </c>
      <c r="C42" s="466"/>
      <c r="D42" s="466"/>
      <c r="E42" s="467"/>
      <c r="F42" s="9" t="s">
        <v>48</v>
      </c>
      <c r="G42" s="468" t="s">
        <v>49</v>
      </c>
      <c r="H42" s="469"/>
      <c r="I42" s="469"/>
      <c r="J42" s="469"/>
      <c r="K42" s="470"/>
    </row>
    <row r="43" spans="1:11" x14ac:dyDescent="0.25">
      <c r="A43" s="4" t="s">
        <v>9</v>
      </c>
      <c r="B43" s="471" t="s">
        <v>66</v>
      </c>
      <c r="C43" s="471"/>
      <c r="D43" s="471"/>
      <c r="E43" s="471"/>
      <c r="F43" s="11" t="s">
        <v>50</v>
      </c>
      <c r="G43" s="471" t="s">
        <v>104</v>
      </c>
      <c r="H43" s="471"/>
      <c r="I43" s="471"/>
      <c r="J43" s="471"/>
      <c r="K43" s="471"/>
    </row>
    <row r="44" spans="1:11" x14ac:dyDescent="0.25">
      <c r="A44" s="464" t="s">
        <v>0</v>
      </c>
      <c r="B44" s="464" t="s">
        <v>1</v>
      </c>
      <c r="C44" s="464" t="s">
        <v>2</v>
      </c>
      <c r="D44" s="464"/>
      <c r="E44" s="464"/>
      <c r="F44" s="464" t="s">
        <v>3</v>
      </c>
      <c r="G44" s="464"/>
      <c r="H44" s="464"/>
      <c r="I44" s="464" t="s">
        <v>4</v>
      </c>
      <c r="J44" s="464"/>
      <c r="K44" s="464"/>
    </row>
    <row r="45" spans="1:11" x14ac:dyDescent="0.25">
      <c r="A45" s="464"/>
      <c r="B45" s="464"/>
      <c r="C45" s="2" t="s">
        <v>5</v>
      </c>
      <c r="D45" s="3" t="s">
        <v>6</v>
      </c>
      <c r="E45" s="2" t="s">
        <v>7</v>
      </c>
      <c r="F45" s="2" t="s">
        <v>5</v>
      </c>
      <c r="G45" s="3" t="s">
        <v>6</v>
      </c>
      <c r="H45" s="2" t="s">
        <v>7</v>
      </c>
      <c r="I45" s="2" t="s">
        <v>5</v>
      </c>
      <c r="J45" s="3" t="s">
        <v>6</v>
      </c>
      <c r="K45" s="2" t="s">
        <v>7</v>
      </c>
    </row>
    <row r="46" spans="1:11" x14ac:dyDescent="0.25">
      <c r="A46" s="1"/>
      <c r="B46" s="1" t="s">
        <v>42</v>
      </c>
      <c r="C46" s="1"/>
      <c r="D46" s="34"/>
      <c r="E46" s="1"/>
      <c r="F46" s="1"/>
      <c r="G46" s="34"/>
      <c r="H46" s="1"/>
      <c r="I46" s="1">
        <v>0</v>
      </c>
      <c r="J46" s="34">
        <v>0</v>
      </c>
      <c r="K46" s="1">
        <v>0</v>
      </c>
    </row>
    <row r="47" spans="1:11" ht="15.75" x14ac:dyDescent="0.25">
      <c r="A47" s="7">
        <v>42009</v>
      </c>
      <c r="B47" s="8" t="s">
        <v>43</v>
      </c>
      <c r="C47" s="6">
        <v>100</v>
      </c>
      <c r="D47" s="27">
        <f>+E47/C47</f>
        <v>0.52639999999999998</v>
      </c>
      <c r="E47" s="8">
        <v>52.64</v>
      </c>
      <c r="F47" s="8"/>
      <c r="G47" s="27"/>
      <c r="H47" s="8"/>
      <c r="I47" s="6">
        <f>+I46+C47</f>
        <v>100</v>
      </c>
      <c r="J47" s="27">
        <f>+K47/I47</f>
        <v>0.52639999999999998</v>
      </c>
      <c r="K47" s="8">
        <f>+K46+E47</f>
        <v>52.64</v>
      </c>
    </row>
    <row r="48" spans="1:11" ht="30" x14ac:dyDescent="0.25">
      <c r="A48" s="305"/>
      <c r="B48" s="309" t="s">
        <v>566</v>
      </c>
      <c r="C48" s="222"/>
      <c r="D48" s="223"/>
      <c r="E48" s="222"/>
      <c r="F48" s="222">
        <v>2</v>
      </c>
      <c r="G48" s="223">
        <f>+J47</f>
        <v>0.52639999999999998</v>
      </c>
      <c r="H48" s="223">
        <f>+G48*F48</f>
        <v>1.0528</v>
      </c>
      <c r="I48" s="222">
        <f>+I47-F48</f>
        <v>98</v>
      </c>
      <c r="J48" s="342">
        <f>+K48/I48</f>
        <v>0.52639999999999998</v>
      </c>
      <c r="K48" s="223">
        <f>+K47-H48</f>
        <v>51.587200000000003</v>
      </c>
    </row>
    <row r="49" spans="1:11" x14ac:dyDescent="0.25">
      <c r="A49" s="5"/>
      <c r="B49" s="2"/>
      <c r="C49" s="2"/>
      <c r="D49" s="3"/>
      <c r="E49" s="2"/>
      <c r="F49" s="2"/>
      <c r="G49" s="3"/>
      <c r="H49" s="2"/>
      <c r="I49" s="2"/>
      <c r="J49" s="3"/>
      <c r="K49" s="3"/>
    </row>
    <row r="50" spans="1:11" x14ac:dyDescent="0.25">
      <c r="A50" s="5"/>
      <c r="B50" s="2"/>
      <c r="C50" s="2"/>
      <c r="D50" s="3"/>
      <c r="E50" s="2"/>
      <c r="F50" s="2"/>
      <c r="G50" s="3"/>
      <c r="H50" s="3"/>
      <c r="I50" s="2"/>
      <c r="J50" s="3"/>
      <c r="K50" s="3"/>
    </row>
    <row r="53" spans="1:11" ht="15.75" x14ac:dyDescent="0.25">
      <c r="A53" s="456" t="s">
        <v>10</v>
      </c>
      <c r="B53" s="456"/>
      <c r="C53" s="456"/>
      <c r="D53" s="456"/>
      <c r="E53" s="456"/>
      <c r="F53" s="456"/>
      <c r="G53" s="456"/>
      <c r="H53" s="456"/>
      <c r="I53" s="456"/>
      <c r="J53" s="456"/>
      <c r="K53" s="456"/>
    </row>
    <row r="54" spans="1:11" ht="15.75" x14ac:dyDescent="0.25">
      <c r="A54" s="456" t="s">
        <v>11</v>
      </c>
      <c r="B54" s="456"/>
      <c r="C54" s="456"/>
      <c r="D54" s="456"/>
      <c r="E54" s="456"/>
      <c r="F54" s="456"/>
      <c r="G54" s="456"/>
      <c r="H54" s="456"/>
      <c r="I54" s="456"/>
      <c r="J54" s="456"/>
      <c r="K54" s="456"/>
    </row>
    <row r="55" spans="1:11" x14ac:dyDescent="0.25">
      <c r="A55" s="2" t="s">
        <v>8</v>
      </c>
      <c r="B55" s="465" t="s">
        <v>116</v>
      </c>
      <c r="C55" s="466"/>
      <c r="D55" s="466"/>
      <c r="E55" s="467"/>
      <c r="F55" s="9" t="s">
        <v>48</v>
      </c>
      <c r="G55" s="468" t="s">
        <v>49</v>
      </c>
      <c r="H55" s="469"/>
      <c r="I55" s="469"/>
      <c r="J55" s="469"/>
      <c r="K55" s="470"/>
    </row>
    <row r="56" spans="1:11" x14ac:dyDescent="0.25">
      <c r="A56" s="4" t="s">
        <v>9</v>
      </c>
      <c r="B56" s="471" t="s">
        <v>66</v>
      </c>
      <c r="C56" s="471"/>
      <c r="D56" s="471"/>
      <c r="E56" s="471"/>
      <c r="F56" s="11" t="s">
        <v>50</v>
      </c>
      <c r="G56" s="471" t="s">
        <v>91</v>
      </c>
      <c r="H56" s="471"/>
      <c r="I56" s="471"/>
      <c r="J56" s="471"/>
      <c r="K56" s="471"/>
    </row>
    <row r="57" spans="1:11" x14ac:dyDescent="0.25">
      <c r="A57" s="464" t="s">
        <v>0</v>
      </c>
      <c r="B57" s="464" t="s">
        <v>1</v>
      </c>
      <c r="C57" s="464" t="s">
        <v>2</v>
      </c>
      <c r="D57" s="464"/>
      <c r="E57" s="464"/>
      <c r="F57" s="464" t="s">
        <v>3</v>
      </c>
      <c r="G57" s="464"/>
      <c r="H57" s="464"/>
      <c r="I57" s="464" t="s">
        <v>4</v>
      </c>
      <c r="J57" s="464"/>
      <c r="K57" s="464"/>
    </row>
    <row r="58" spans="1:11" x14ac:dyDescent="0.25">
      <c r="A58" s="464"/>
      <c r="B58" s="464"/>
      <c r="C58" s="2" t="s">
        <v>5</v>
      </c>
      <c r="D58" s="3" t="s">
        <v>6</v>
      </c>
      <c r="E58" s="2" t="s">
        <v>7</v>
      </c>
      <c r="F58" s="2" t="s">
        <v>5</v>
      </c>
      <c r="G58" s="3" t="s">
        <v>6</v>
      </c>
      <c r="H58" s="2" t="s">
        <v>7</v>
      </c>
      <c r="I58" s="2" t="s">
        <v>5</v>
      </c>
      <c r="J58" s="3" t="s">
        <v>6</v>
      </c>
      <c r="K58" s="2" t="s">
        <v>7</v>
      </c>
    </row>
    <row r="59" spans="1:11" x14ac:dyDescent="0.25">
      <c r="A59" s="1"/>
      <c r="B59" s="1" t="s">
        <v>42</v>
      </c>
      <c r="C59" s="1"/>
      <c r="D59" s="34"/>
      <c r="E59" s="1"/>
      <c r="F59" s="1"/>
      <c r="G59" s="34"/>
      <c r="H59" s="1"/>
      <c r="I59" s="1">
        <v>0</v>
      </c>
      <c r="J59" s="34">
        <v>0</v>
      </c>
      <c r="K59" s="1">
        <v>0</v>
      </c>
    </row>
    <row r="60" spans="1:11" ht="15.75" x14ac:dyDescent="0.25">
      <c r="A60" s="7">
        <v>42009</v>
      </c>
      <c r="B60" s="8" t="s">
        <v>43</v>
      </c>
      <c r="C60" s="6">
        <v>100</v>
      </c>
      <c r="D60" s="27">
        <f>+E60/C60</f>
        <v>0.4763</v>
      </c>
      <c r="E60" s="8">
        <v>47.63</v>
      </c>
      <c r="F60" s="8"/>
      <c r="G60" s="27"/>
      <c r="H60" s="8"/>
      <c r="I60" s="6">
        <f>+I59+C60</f>
        <v>100</v>
      </c>
      <c r="J60" s="27">
        <f>+K60/I60</f>
        <v>0.4763</v>
      </c>
      <c r="K60" s="8">
        <f>+K59+E60</f>
        <v>47.63</v>
      </c>
    </row>
    <row r="61" spans="1:11" ht="30" x14ac:dyDescent="0.25">
      <c r="A61" s="307"/>
      <c r="B61" s="309" t="s">
        <v>538</v>
      </c>
      <c r="C61" s="222"/>
      <c r="D61" s="223"/>
      <c r="E61" s="222"/>
      <c r="F61" s="222">
        <v>2</v>
      </c>
      <c r="G61" s="223">
        <f>+J60</f>
        <v>0.4763</v>
      </c>
      <c r="H61" s="222">
        <f>+G61*F61</f>
        <v>0.9526</v>
      </c>
      <c r="I61" s="222">
        <f>+I60-F61</f>
        <v>98</v>
      </c>
      <c r="J61" s="223">
        <f>+K61*I61</f>
        <v>4574.3852000000006</v>
      </c>
      <c r="K61" s="223">
        <f>+K60-H61</f>
        <v>46.677400000000006</v>
      </c>
    </row>
    <row r="62" spans="1:11" x14ac:dyDescent="0.25">
      <c r="A62" s="5"/>
      <c r="B62" s="2"/>
      <c r="C62" s="2"/>
      <c r="D62" s="3"/>
      <c r="E62" s="2"/>
      <c r="F62" s="2"/>
      <c r="G62" s="3"/>
      <c r="H62" s="2"/>
      <c r="I62" s="2"/>
      <c r="J62" s="3"/>
      <c r="K62" s="3"/>
    </row>
    <row r="63" spans="1:11" x14ac:dyDescent="0.25">
      <c r="A63" s="5"/>
      <c r="B63" s="2"/>
      <c r="C63" s="2"/>
      <c r="D63" s="3"/>
      <c r="E63" s="2"/>
      <c r="F63" s="2"/>
      <c r="G63" s="3"/>
      <c r="H63" s="3"/>
      <c r="I63" s="2"/>
      <c r="J63" s="3"/>
      <c r="K63" s="3"/>
    </row>
    <row r="66" spans="1:11" ht="15.75" x14ac:dyDescent="0.25">
      <c r="A66" s="456" t="s">
        <v>10</v>
      </c>
      <c r="B66" s="456"/>
      <c r="C66" s="456"/>
      <c r="D66" s="456"/>
      <c r="E66" s="456"/>
      <c r="F66" s="456"/>
      <c r="G66" s="456"/>
      <c r="H66" s="456"/>
      <c r="I66" s="456"/>
      <c r="J66" s="456"/>
      <c r="K66" s="456"/>
    </row>
    <row r="67" spans="1:11" ht="15.75" x14ac:dyDescent="0.25">
      <c r="A67" s="456" t="s">
        <v>11</v>
      </c>
      <c r="B67" s="456"/>
      <c r="C67" s="456"/>
      <c r="D67" s="456"/>
      <c r="E67" s="456"/>
      <c r="F67" s="456"/>
      <c r="G67" s="456"/>
      <c r="H67" s="456"/>
      <c r="I67" s="456"/>
      <c r="J67" s="456"/>
      <c r="K67" s="456"/>
    </row>
    <row r="68" spans="1:11" x14ac:dyDescent="0.25">
      <c r="A68" s="2" t="s">
        <v>8</v>
      </c>
      <c r="B68" s="465" t="s">
        <v>117</v>
      </c>
      <c r="C68" s="466"/>
      <c r="D68" s="466"/>
      <c r="E68" s="467"/>
      <c r="F68" s="9" t="s">
        <v>48</v>
      </c>
      <c r="G68" s="468" t="s">
        <v>49</v>
      </c>
      <c r="H68" s="469"/>
      <c r="I68" s="469"/>
      <c r="J68" s="469"/>
      <c r="K68" s="470"/>
    </row>
    <row r="69" spans="1:11" x14ac:dyDescent="0.25">
      <c r="A69" s="4" t="s">
        <v>9</v>
      </c>
      <c r="B69" s="471" t="s">
        <v>66</v>
      </c>
      <c r="C69" s="471"/>
      <c r="D69" s="471"/>
      <c r="E69" s="471"/>
      <c r="F69" s="11" t="s">
        <v>50</v>
      </c>
      <c r="G69" s="471" t="s">
        <v>91</v>
      </c>
      <c r="H69" s="471"/>
      <c r="I69" s="471"/>
      <c r="J69" s="471"/>
      <c r="K69" s="471"/>
    </row>
    <row r="70" spans="1:11" x14ac:dyDescent="0.25">
      <c r="A70" s="464" t="s">
        <v>0</v>
      </c>
      <c r="B70" s="464" t="s">
        <v>1</v>
      </c>
      <c r="C70" s="464" t="s">
        <v>2</v>
      </c>
      <c r="D70" s="464"/>
      <c r="E70" s="464"/>
      <c r="F70" s="464" t="s">
        <v>3</v>
      </c>
      <c r="G70" s="464"/>
      <c r="H70" s="464"/>
      <c r="I70" s="464" t="s">
        <v>4</v>
      </c>
      <c r="J70" s="464"/>
      <c r="K70" s="464"/>
    </row>
    <row r="71" spans="1:11" x14ac:dyDescent="0.25">
      <c r="A71" s="464"/>
      <c r="B71" s="464"/>
      <c r="C71" s="2" t="s">
        <v>5</v>
      </c>
      <c r="D71" s="3" t="s">
        <v>6</v>
      </c>
      <c r="E71" s="2" t="s">
        <v>7</v>
      </c>
      <c r="F71" s="2" t="s">
        <v>5</v>
      </c>
      <c r="G71" s="3" t="s">
        <v>6</v>
      </c>
      <c r="H71" s="2" t="s">
        <v>7</v>
      </c>
      <c r="I71" s="2" t="s">
        <v>5</v>
      </c>
      <c r="J71" s="3" t="s">
        <v>6</v>
      </c>
      <c r="K71" s="2" t="s">
        <v>7</v>
      </c>
    </row>
    <row r="72" spans="1:11" x14ac:dyDescent="0.25">
      <c r="A72" s="1"/>
      <c r="B72" s="1" t="s">
        <v>42</v>
      </c>
      <c r="C72" s="1"/>
      <c r="D72" s="34"/>
      <c r="E72" s="1"/>
      <c r="F72" s="1"/>
      <c r="G72" s="34"/>
      <c r="H72" s="1"/>
      <c r="I72" s="1">
        <v>0</v>
      </c>
      <c r="J72" s="34">
        <v>0</v>
      </c>
      <c r="K72" s="1">
        <v>0</v>
      </c>
    </row>
    <row r="73" spans="1:11" ht="15.75" x14ac:dyDescent="0.25">
      <c r="A73" s="7">
        <v>42009</v>
      </c>
      <c r="B73" s="8" t="s">
        <v>43</v>
      </c>
      <c r="C73" s="6">
        <v>100</v>
      </c>
      <c r="D73" s="27">
        <f>+E73/C73</f>
        <v>0.42469999999999997</v>
      </c>
      <c r="E73" s="8">
        <v>42.47</v>
      </c>
      <c r="F73" s="8"/>
      <c r="G73" s="27"/>
      <c r="H73" s="8"/>
      <c r="I73" s="6">
        <f>+I72+C73</f>
        <v>100</v>
      </c>
      <c r="J73" s="27">
        <f>+K73/I73</f>
        <v>0.42469999999999997</v>
      </c>
      <c r="K73" s="8">
        <f>+K72+E73</f>
        <v>42.47</v>
      </c>
    </row>
    <row r="74" spans="1:11" ht="30" x14ac:dyDescent="0.25">
      <c r="A74" s="307"/>
      <c r="B74" s="309" t="s">
        <v>542</v>
      </c>
      <c r="C74" s="222"/>
      <c r="D74" s="223"/>
      <c r="E74" s="222"/>
      <c r="F74" s="222">
        <v>2</v>
      </c>
      <c r="G74" s="223">
        <f>+J73</f>
        <v>0.42469999999999997</v>
      </c>
      <c r="H74" s="223">
        <f>+G74*F74</f>
        <v>0.84939999999999993</v>
      </c>
      <c r="I74" s="222">
        <f>+I73-F74</f>
        <v>98</v>
      </c>
      <c r="J74" s="342">
        <f>+K74/I74</f>
        <v>0.42469999999999997</v>
      </c>
      <c r="K74" s="223">
        <f>+K73-H74</f>
        <v>41.620599999999996</v>
      </c>
    </row>
    <row r="75" spans="1:11" x14ac:dyDescent="0.25">
      <c r="A75" s="5"/>
      <c r="B75" s="2"/>
      <c r="C75" s="2"/>
      <c r="D75" s="3"/>
      <c r="E75" s="2"/>
      <c r="F75" s="2"/>
      <c r="G75" s="3"/>
      <c r="H75" s="2"/>
      <c r="I75" s="2"/>
      <c r="J75" s="3"/>
      <c r="K75" s="3"/>
    </row>
    <row r="76" spans="1:11" x14ac:dyDescent="0.25">
      <c r="A76" s="5"/>
      <c r="B76" s="2"/>
      <c r="C76" s="2"/>
      <c r="D76" s="3"/>
      <c r="E76" s="2"/>
      <c r="F76" s="2"/>
      <c r="G76" s="3"/>
      <c r="H76" s="3"/>
      <c r="I76" s="2"/>
      <c r="J76" s="3"/>
      <c r="K76" s="3"/>
    </row>
    <row r="79" spans="1:11" ht="15.75" x14ac:dyDescent="0.25">
      <c r="A79" s="456" t="s">
        <v>10</v>
      </c>
      <c r="B79" s="456"/>
      <c r="C79" s="456"/>
      <c r="D79" s="456"/>
      <c r="E79" s="456"/>
      <c r="F79" s="456"/>
      <c r="G79" s="456"/>
      <c r="H79" s="456"/>
      <c r="I79" s="456"/>
      <c r="J79" s="456"/>
      <c r="K79" s="456"/>
    </row>
    <row r="80" spans="1:11" ht="15.75" x14ac:dyDescent="0.25">
      <c r="A80" s="456" t="s">
        <v>11</v>
      </c>
      <c r="B80" s="456"/>
      <c r="C80" s="456"/>
      <c r="D80" s="456"/>
      <c r="E80" s="456"/>
      <c r="F80" s="456"/>
      <c r="G80" s="456"/>
      <c r="H80" s="456"/>
      <c r="I80" s="456"/>
      <c r="J80" s="456"/>
      <c r="K80" s="456"/>
    </row>
    <row r="81" spans="1:11" x14ac:dyDescent="0.25">
      <c r="A81" s="2" t="s">
        <v>8</v>
      </c>
      <c r="B81" s="465" t="s">
        <v>118</v>
      </c>
      <c r="C81" s="466"/>
      <c r="D81" s="466"/>
      <c r="E81" s="467"/>
      <c r="F81" s="9" t="s">
        <v>48</v>
      </c>
      <c r="G81" s="468" t="s">
        <v>49</v>
      </c>
      <c r="H81" s="469"/>
      <c r="I81" s="469"/>
      <c r="J81" s="469"/>
      <c r="K81" s="470"/>
    </row>
    <row r="82" spans="1:11" x14ac:dyDescent="0.25">
      <c r="A82" s="4" t="s">
        <v>9</v>
      </c>
      <c r="B82" s="471" t="s">
        <v>66</v>
      </c>
      <c r="C82" s="471"/>
      <c r="D82" s="471"/>
      <c r="E82" s="471"/>
      <c r="F82" s="11" t="s">
        <v>50</v>
      </c>
      <c r="G82" s="471" t="s">
        <v>104</v>
      </c>
      <c r="H82" s="471"/>
      <c r="I82" s="471"/>
      <c r="J82" s="471"/>
      <c r="K82" s="471"/>
    </row>
    <row r="83" spans="1:11" x14ac:dyDescent="0.25">
      <c r="A83" s="464" t="s">
        <v>0</v>
      </c>
      <c r="B83" s="464" t="s">
        <v>1</v>
      </c>
      <c r="C83" s="464" t="s">
        <v>2</v>
      </c>
      <c r="D83" s="464"/>
      <c r="E83" s="464"/>
      <c r="F83" s="464" t="s">
        <v>3</v>
      </c>
      <c r="G83" s="464"/>
      <c r="H83" s="464"/>
      <c r="I83" s="464" t="s">
        <v>4</v>
      </c>
      <c r="J83" s="464"/>
      <c r="K83" s="464"/>
    </row>
    <row r="84" spans="1:11" x14ac:dyDescent="0.25">
      <c r="A84" s="464"/>
      <c r="B84" s="464"/>
      <c r="C84" s="2" t="s">
        <v>5</v>
      </c>
      <c r="D84" s="3" t="s">
        <v>6</v>
      </c>
      <c r="E84" s="2" t="s">
        <v>7</v>
      </c>
      <c r="F84" s="2" t="s">
        <v>5</v>
      </c>
      <c r="G84" s="3" t="s">
        <v>6</v>
      </c>
      <c r="H84" s="2" t="s">
        <v>7</v>
      </c>
      <c r="I84" s="2" t="s">
        <v>5</v>
      </c>
      <c r="J84" s="3" t="s">
        <v>6</v>
      </c>
      <c r="K84" s="2" t="s">
        <v>7</v>
      </c>
    </row>
    <row r="85" spans="1:11" x14ac:dyDescent="0.25">
      <c r="A85" s="1"/>
      <c r="B85" s="1" t="s">
        <v>42</v>
      </c>
      <c r="C85" s="1"/>
      <c r="D85" s="34"/>
      <c r="E85" s="1"/>
      <c r="F85" s="1"/>
      <c r="G85" s="34"/>
      <c r="H85" s="1"/>
      <c r="I85" s="1">
        <v>0</v>
      </c>
      <c r="J85" s="34">
        <v>0</v>
      </c>
      <c r="K85" s="1">
        <v>0</v>
      </c>
    </row>
    <row r="86" spans="1:11" ht="15.75" x14ac:dyDescent="0.25">
      <c r="A86" s="7">
        <v>42009</v>
      </c>
      <c r="B86" s="8" t="s">
        <v>43</v>
      </c>
      <c r="C86" s="6">
        <v>50</v>
      </c>
      <c r="D86" s="27">
        <f>+E86/C86</f>
        <v>0.65</v>
      </c>
      <c r="E86" s="8">
        <v>32.5</v>
      </c>
      <c r="F86" s="8"/>
      <c r="G86" s="27"/>
      <c r="H86" s="8"/>
      <c r="I86" s="6">
        <f>+I85+C86</f>
        <v>50</v>
      </c>
      <c r="J86" s="27">
        <f>+K86/I86</f>
        <v>0.65</v>
      </c>
      <c r="K86" s="8">
        <f>+K85+E86</f>
        <v>32.5</v>
      </c>
    </row>
    <row r="87" spans="1:11" ht="30" x14ac:dyDescent="0.25">
      <c r="A87" s="307"/>
      <c r="B87" s="309" t="s">
        <v>578</v>
      </c>
      <c r="C87" s="222"/>
      <c r="D87" s="223"/>
      <c r="E87" s="222"/>
      <c r="F87" s="222">
        <v>2</v>
      </c>
      <c r="G87" s="223">
        <f>+J86</f>
        <v>0.65</v>
      </c>
      <c r="H87" s="222">
        <f>+G87*F87</f>
        <v>1.3</v>
      </c>
      <c r="I87" s="222">
        <f>+I86-F87</f>
        <v>48</v>
      </c>
      <c r="J87" s="223">
        <f>+K87/I87</f>
        <v>0.65</v>
      </c>
      <c r="K87" s="223">
        <f>+K86-H87</f>
        <v>31.2</v>
      </c>
    </row>
    <row r="88" spans="1:11" x14ac:dyDescent="0.25">
      <c r="A88" s="5"/>
      <c r="B88" s="2"/>
      <c r="C88" s="2"/>
      <c r="D88" s="3"/>
      <c r="E88" s="2"/>
      <c r="F88" s="2"/>
      <c r="G88" s="3"/>
      <c r="H88" s="2"/>
      <c r="I88" s="2"/>
      <c r="J88" s="3"/>
      <c r="K88" s="3"/>
    </row>
    <row r="89" spans="1:11" x14ac:dyDescent="0.25">
      <c r="A89" s="5"/>
      <c r="B89" s="2"/>
      <c r="C89" s="2"/>
      <c r="D89" s="3"/>
      <c r="E89" s="2"/>
      <c r="F89" s="2"/>
      <c r="G89" s="3"/>
      <c r="H89" s="3"/>
      <c r="I89" s="2"/>
      <c r="J89" s="3"/>
      <c r="K89" s="3"/>
    </row>
    <row r="93" spans="1:11" ht="15.75" x14ac:dyDescent="0.25">
      <c r="A93" s="456" t="s">
        <v>10</v>
      </c>
      <c r="B93" s="456"/>
      <c r="C93" s="456"/>
      <c r="D93" s="456"/>
      <c r="E93" s="456"/>
      <c r="F93" s="456"/>
      <c r="G93" s="456"/>
      <c r="H93" s="456"/>
      <c r="I93" s="456"/>
      <c r="J93" s="456"/>
      <c r="K93" s="456"/>
    </row>
    <row r="94" spans="1:11" ht="15.75" x14ac:dyDescent="0.25">
      <c r="A94" s="456" t="s">
        <v>11</v>
      </c>
      <c r="B94" s="456"/>
      <c r="C94" s="456"/>
      <c r="D94" s="456"/>
      <c r="E94" s="456"/>
      <c r="F94" s="456"/>
      <c r="G94" s="456"/>
      <c r="H94" s="456"/>
      <c r="I94" s="456"/>
      <c r="J94" s="456"/>
      <c r="K94" s="456"/>
    </row>
    <row r="95" spans="1:11" x14ac:dyDescent="0.25">
      <c r="A95" s="2" t="s">
        <v>8</v>
      </c>
      <c r="B95" s="465" t="s">
        <v>119</v>
      </c>
      <c r="C95" s="466"/>
      <c r="D95" s="466"/>
      <c r="E95" s="467"/>
      <c r="F95" s="9" t="s">
        <v>48</v>
      </c>
      <c r="G95" s="468" t="s">
        <v>49</v>
      </c>
      <c r="H95" s="469"/>
      <c r="I95" s="469"/>
      <c r="J95" s="469"/>
      <c r="K95" s="470"/>
    </row>
    <row r="96" spans="1:11" x14ac:dyDescent="0.25">
      <c r="A96" s="4" t="s">
        <v>9</v>
      </c>
      <c r="B96" s="471" t="s">
        <v>66</v>
      </c>
      <c r="C96" s="471"/>
      <c r="D96" s="471"/>
      <c r="E96" s="471"/>
      <c r="F96" s="11" t="s">
        <v>50</v>
      </c>
      <c r="G96" s="471" t="s">
        <v>104</v>
      </c>
      <c r="H96" s="471"/>
      <c r="I96" s="471"/>
      <c r="J96" s="471"/>
      <c r="K96" s="471"/>
    </row>
    <row r="97" spans="1:11" x14ac:dyDescent="0.25">
      <c r="A97" s="464" t="s">
        <v>0</v>
      </c>
      <c r="B97" s="464" t="s">
        <v>1</v>
      </c>
      <c r="C97" s="464" t="s">
        <v>2</v>
      </c>
      <c r="D97" s="464"/>
      <c r="E97" s="464"/>
      <c r="F97" s="464" t="s">
        <v>3</v>
      </c>
      <c r="G97" s="464"/>
      <c r="H97" s="464"/>
      <c r="I97" s="464" t="s">
        <v>4</v>
      </c>
      <c r="J97" s="464"/>
      <c r="K97" s="464"/>
    </row>
    <row r="98" spans="1:11" x14ac:dyDescent="0.25">
      <c r="A98" s="464"/>
      <c r="B98" s="464"/>
      <c r="C98" s="2" t="s">
        <v>5</v>
      </c>
      <c r="D98" s="3" t="s">
        <v>6</v>
      </c>
      <c r="E98" s="2" t="s">
        <v>7</v>
      </c>
      <c r="F98" s="2" t="s">
        <v>5</v>
      </c>
      <c r="G98" s="3" t="s">
        <v>6</v>
      </c>
      <c r="H98" s="2" t="s">
        <v>7</v>
      </c>
      <c r="I98" s="2" t="s">
        <v>5</v>
      </c>
      <c r="J98" s="3" t="s">
        <v>6</v>
      </c>
      <c r="K98" s="2" t="s">
        <v>7</v>
      </c>
    </row>
    <row r="99" spans="1:11" x14ac:dyDescent="0.25">
      <c r="A99" s="1"/>
      <c r="B99" s="1" t="s">
        <v>42</v>
      </c>
      <c r="C99" s="1"/>
      <c r="D99" s="34"/>
      <c r="E99" s="1"/>
      <c r="F99" s="1"/>
      <c r="G99" s="34"/>
      <c r="H99" s="1"/>
      <c r="I99" s="1">
        <v>0</v>
      </c>
      <c r="J99" s="34">
        <v>0</v>
      </c>
      <c r="K99" s="1">
        <v>0</v>
      </c>
    </row>
    <row r="100" spans="1:11" ht="15.75" x14ac:dyDescent="0.25">
      <c r="A100" s="7">
        <v>42009</v>
      </c>
      <c r="B100" s="8" t="s">
        <v>43</v>
      </c>
      <c r="C100" s="6">
        <v>50</v>
      </c>
      <c r="D100" s="27">
        <f>+E100/C100</f>
        <v>0.65</v>
      </c>
      <c r="E100" s="8">
        <v>32.5</v>
      </c>
      <c r="F100" s="8"/>
      <c r="G100" s="27"/>
      <c r="H100" s="8"/>
      <c r="I100" s="6">
        <f>+I99+C100</f>
        <v>50</v>
      </c>
      <c r="J100" s="27">
        <f>+K100/I100</f>
        <v>0.65</v>
      </c>
      <c r="K100" s="8">
        <f>+K99+E100</f>
        <v>32.5</v>
      </c>
    </row>
    <row r="101" spans="1:11" ht="30" x14ac:dyDescent="0.25">
      <c r="A101" s="307"/>
      <c r="B101" s="309" t="s">
        <v>574</v>
      </c>
      <c r="C101" s="222"/>
      <c r="D101" s="223"/>
      <c r="E101" s="222"/>
      <c r="F101" s="222">
        <v>2</v>
      </c>
      <c r="G101" s="223">
        <f>+J100</f>
        <v>0.65</v>
      </c>
      <c r="H101" s="222">
        <f>+G101*F101</f>
        <v>1.3</v>
      </c>
      <c r="I101" s="222">
        <f>+I100-F101</f>
        <v>48</v>
      </c>
      <c r="J101" s="223">
        <f>+K101/I101</f>
        <v>0.65</v>
      </c>
      <c r="K101" s="223">
        <f>+K100-H101</f>
        <v>31.2</v>
      </c>
    </row>
    <row r="102" spans="1:11" x14ac:dyDescent="0.25">
      <c r="A102" s="5"/>
      <c r="B102" s="2"/>
      <c r="C102" s="2"/>
      <c r="D102" s="3"/>
      <c r="E102" s="2"/>
      <c r="F102" s="2"/>
      <c r="G102" s="3"/>
      <c r="H102" s="2"/>
      <c r="I102" s="2"/>
      <c r="J102" s="3"/>
      <c r="K102" s="3"/>
    </row>
    <row r="103" spans="1:11" x14ac:dyDescent="0.25">
      <c r="A103" s="5"/>
      <c r="B103" s="2"/>
      <c r="C103" s="2"/>
      <c r="D103" s="3"/>
      <c r="E103" s="2"/>
      <c r="F103" s="2"/>
      <c r="G103" s="3"/>
      <c r="H103" s="3"/>
      <c r="I103" s="2"/>
      <c r="J103" s="3"/>
      <c r="K103" s="3"/>
    </row>
    <row r="106" spans="1:11" ht="15.75" x14ac:dyDescent="0.25">
      <c r="A106" s="456" t="s">
        <v>10</v>
      </c>
      <c r="B106" s="456"/>
      <c r="C106" s="456"/>
      <c r="D106" s="456"/>
      <c r="E106" s="456"/>
      <c r="F106" s="456"/>
      <c r="G106" s="456"/>
      <c r="H106" s="456"/>
      <c r="I106" s="456"/>
      <c r="J106" s="456"/>
      <c r="K106" s="456"/>
    </row>
    <row r="107" spans="1:11" ht="15.75" x14ac:dyDescent="0.25">
      <c r="A107" s="456" t="s">
        <v>11</v>
      </c>
      <c r="B107" s="456"/>
      <c r="C107" s="456"/>
      <c r="D107" s="456"/>
      <c r="E107" s="456"/>
      <c r="F107" s="456"/>
      <c r="G107" s="456"/>
      <c r="H107" s="456"/>
      <c r="I107" s="456"/>
      <c r="J107" s="456"/>
      <c r="K107" s="456"/>
    </row>
    <row r="108" spans="1:11" x14ac:dyDescent="0.25">
      <c r="A108" s="2" t="s">
        <v>8</v>
      </c>
      <c r="B108" s="465" t="s">
        <v>120</v>
      </c>
      <c r="C108" s="466"/>
      <c r="D108" s="466"/>
      <c r="E108" s="467"/>
      <c r="F108" s="9" t="s">
        <v>48</v>
      </c>
      <c r="G108" s="468" t="s">
        <v>49</v>
      </c>
      <c r="H108" s="469"/>
      <c r="I108" s="469"/>
      <c r="J108" s="469"/>
      <c r="K108" s="470"/>
    </row>
    <row r="109" spans="1:11" x14ac:dyDescent="0.25">
      <c r="A109" s="4" t="s">
        <v>9</v>
      </c>
      <c r="B109" s="471" t="s">
        <v>66</v>
      </c>
      <c r="C109" s="471"/>
      <c r="D109" s="471"/>
      <c r="E109" s="471"/>
      <c r="F109" s="11" t="s">
        <v>50</v>
      </c>
      <c r="G109" s="471" t="s">
        <v>144</v>
      </c>
      <c r="H109" s="471"/>
      <c r="I109" s="471"/>
      <c r="J109" s="471"/>
      <c r="K109" s="471"/>
    </row>
    <row r="110" spans="1:11" x14ac:dyDescent="0.25">
      <c r="A110" s="464" t="s">
        <v>0</v>
      </c>
      <c r="B110" s="464" t="s">
        <v>1</v>
      </c>
      <c r="C110" s="464" t="s">
        <v>2</v>
      </c>
      <c r="D110" s="464"/>
      <c r="E110" s="464"/>
      <c r="F110" s="464" t="s">
        <v>3</v>
      </c>
      <c r="G110" s="464"/>
      <c r="H110" s="464"/>
      <c r="I110" s="464" t="s">
        <v>4</v>
      </c>
      <c r="J110" s="464"/>
      <c r="K110" s="464"/>
    </row>
    <row r="111" spans="1:11" x14ac:dyDescent="0.25">
      <c r="A111" s="464"/>
      <c r="B111" s="464"/>
      <c r="C111" s="2" t="s">
        <v>5</v>
      </c>
      <c r="D111" s="3" t="s">
        <v>6</v>
      </c>
      <c r="E111" s="2" t="s">
        <v>7</v>
      </c>
      <c r="F111" s="2" t="s">
        <v>5</v>
      </c>
      <c r="G111" s="3" t="s">
        <v>6</v>
      </c>
      <c r="H111" s="2" t="s">
        <v>7</v>
      </c>
      <c r="I111" s="2" t="s">
        <v>5</v>
      </c>
      <c r="J111" s="3" t="s">
        <v>6</v>
      </c>
      <c r="K111" s="2" t="s">
        <v>7</v>
      </c>
    </row>
    <row r="112" spans="1:11" x14ac:dyDescent="0.25">
      <c r="A112" s="1"/>
      <c r="B112" s="1" t="s">
        <v>42</v>
      </c>
      <c r="C112" s="1"/>
      <c r="D112" s="34"/>
      <c r="E112" s="1"/>
      <c r="F112" s="1"/>
      <c r="G112" s="34"/>
      <c r="H112" s="1"/>
      <c r="I112" s="1">
        <v>0</v>
      </c>
      <c r="J112" s="34">
        <v>0</v>
      </c>
      <c r="K112" s="1">
        <v>0</v>
      </c>
    </row>
    <row r="113" spans="1:11" ht="15.75" x14ac:dyDescent="0.25">
      <c r="A113" s="7">
        <v>42009</v>
      </c>
      <c r="B113" s="8" t="s">
        <v>43</v>
      </c>
      <c r="C113" s="6">
        <v>500</v>
      </c>
      <c r="D113" s="27">
        <f>+E113/C113</f>
        <v>0.05</v>
      </c>
      <c r="E113" s="8">
        <v>25</v>
      </c>
      <c r="F113" s="8"/>
      <c r="G113" s="27"/>
      <c r="H113" s="8"/>
      <c r="I113" s="6">
        <f>+I112+C113</f>
        <v>500</v>
      </c>
      <c r="J113" s="27">
        <f>+K113/I113</f>
        <v>0.05</v>
      </c>
      <c r="K113" s="8">
        <f>+K112+E113</f>
        <v>25</v>
      </c>
    </row>
    <row r="114" spans="1:11" ht="30" x14ac:dyDescent="0.25">
      <c r="A114" s="307"/>
      <c r="B114" s="309" t="s">
        <v>525</v>
      </c>
      <c r="C114" s="222"/>
      <c r="D114" s="223"/>
      <c r="E114" s="222"/>
      <c r="F114" s="222">
        <v>1</v>
      </c>
      <c r="G114" s="223">
        <f>+J113</f>
        <v>0.05</v>
      </c>
      <c r="H114" s="223">
        <f>+G114*F114</f>
        <v>0.05</v>
      </c>
      <c r="I114" s="222">
        <f>+I113-F114</f>
        <v>499</v>
      </c>
      <c r="J114" s="223">
        <f>+K114/I114</f>
        <v>4.9999999999999996E-2</v>
      </c>
      <c r="K114" s="223">
        <f>+K113-H114</f>
        <v>24.95</v>
      </c>
    </row>
    <row r="115" spans="1:11" ht="30" x14ac:dyDescent="0.25">
      <c r="A115" s="307"/>
      <c r="B115" s="309" t="s">
        <v>525</v>
      </c>
      <c r="C115" s="222"/>
      <c r="D115" s="223"/>
      <c r="E115" s="222"/>
      <c r="F115" s="222">
        <v>1</v>
      </c>
      <c r="G115" s="223">
        <f>+J114</f>
        <v>4.9999999999999996E-2</v>
      </c>
      <c r="H115" s="223">
        <f>+G115*F115</f>
        <v>4.9999999999999996E-2</v>
      </c>
      <c r="I115" s="222">
        <f>+I114-F115</f>
        <v>498</v>
      </c>
      <c r="J115" s="223">
        <f>+K115/I115</f>
        <v>4.9999999999999996E-2</v>
      </c>
      <c r="K115" s="223">
        <f>+K114-H115</f>
        <v>24.9</v>
      </c>
    </row>
    <row r="116" spans="1:11" ht="30" x14ac:dyDescent="0.25">
      <c r="A116" s="307"/>
      <c r="B116" s="309" t="s">
        <v>569</v>
      </c>
      <c r="C116" s="222"/>
      <c r="D116" s="223"/>
      <c r="E116" s="222"/>
      <c r="F116" s="222">
        <v>1</v>
      </c>
      <c r="G116" s="223">
        <f>+J115</f>
        <v>4.9999999999999996E-2</v>
      </c>
      <c r="H116" s="223">
        <f>+G116*F116</f>
        <v>4.9999999999999996E-2</v>
      </c>
      <c r="I116" s="222">
        <f>+I115-F116</f>
        <v>497</v>
      </c>
      <c r="J116" s="223">
        <f>+K116/I116</f>
        <v>4.9999999999999996E-2</v>
      </c>
      <c r="K116" s="223">
        <f>+K115-H116</f>
        <v>24.849999999999998</v>
      </c>
    </row>
    <row r="117" spans="1:11" x14ac:dyDescent="0.25">
      <c r="A117" s="5"/>
      <c r="B117" s="2"/>
      <c r="C117" s="2"/>
      <c r="D117" s="3"/>
      <c r="E117" s="2"/>
      <c r="F117" s="2"/>
      <c r="G117" s="3"/>
      <c r="H117" s="3"/>
      <c r="I117" s="2"/>
      <c r="J117" s="3"/>
      <c r="K117" s="3"/>
    </row>
    <row r="120" spans="1:11" ht="15.75" x14ac:dyDescent="0.25">
      <c r="A120" s="456" t="s">
        <v>10</v>
      </c>
      <c r="B120" s="456"/>
      <c r="C120" s="456"/>
      <c r="D120" s="456"/>
      <c r="E120" s="456"/>
      <c r="F120" s="456"/>
      <c r="G120" s="456"/>
      <c r="H120" s="456"/>
      <c r="I120" s="456"/>
      <c r="J120" s="456"/>
      <c r="K120" s="456"/>
    </row>
    <row r="121" spans="1:11" ht="15.75" x14ac:dyDescent="0.25">
      <c r="A121" s="456" t="s">
        <v>11</v>
      </c>
      <c r="B121" s="456"/>
      <c r="C121" s="456"/>
      <c r="D121" s="456"/>
      <c r="E121" s="456"/>
      <c r="F121" s="456"/>
      <c r="G121" s="456"/>
      <c r="H121" s="456"/>
      <c r="I121" s="456"/>
      <c r="J121" s="456"/>
      <c r="K121" s="456"/>
    </row>
    <row r="122" spans="1:11" x14ac:dyDescent="0.25">
      <c r="A122" s="2" t="s">
        <v>8</v>
      </c>
      <c r="B122" s="465" t="s">
        <v>122</v>
      </c>
      <c r="C122" s="466"/>
      <c r="D122" s="466"/>
      <c r="E122" s="467"/>
      <c r="F122" s="9" t="s">
        <v>48</v>
      </c>
      <c r="G122" s="468" t="s">
        <v>49</v>
      </c>
      <c r="H122" s="469"/>
      <c r="I122" s="469"/>
      <c r="J122" s="469"/>
      <c r="K122" s="470"/>
    </row>
    <row r="123" spans="1:11" x14ac:dyDescent="0.25">
      <c r="A123" s="4" t="s">
        <v>9</v>
      </c>
      <c r="B123" s="471" t="s">
        <v>66</v>
      </c>
      <c r="C123" s="471"/>
      <c r="D123" s="471"/>
      <c r="E123" s="471"/>
      <c r="F123" s="11" t="s">
        <v>50</v>
      </c>
      <c r="G123" s="471" t="s">
        <v>651</v>
      </c>
      <c r="H123" s="471"/>
      <c r="I123" s="471"/>
      <c r="J123" s="471"/>
      <c r="K123" s="471"/>
    </row>
    <row r="124" spans="1:11" x14ac:dyDescent="0.25">
      <c r="A124" s="464" t="s">
        <v>0</v>
      </c>
      <c r="B124" s="464" t="s">
        <v>1</v>
      </c>
      <c r="C124" s="464" t="s">
        <v>2</v>
      </c>
      <c r="D124" s="464"/>
      <c r="E124" s="464"/>
      <c r="F124" s="464" t="s">
        <v>3</v>
      </c>
      <c r="G124" s="464"/>
      <c r="H124" s="464"/>
      <c r="I124" s="464" t="s">
        <v>4</v>
      </c>
      <c r="J124" s="464"/>
      <c r="K124" s="464"/>
    </row>
    <row r="125" spans="1:11" x14ac:dyDescent="0.25">
      <c r="A125" s="464"/>
      <c r="B125" s="464"/>
      <c r="C125" s="2" t="s">
        <v>5</v>
      </c>
      <c r="D125" s="3" t="s">
        <v>6</v>
      </c>
      <c r="E125" s="2" t="s">
        <v>7</v>
      </c>
      <c r="F125" s="2" t="s">
        <v>5</v>
      </c>
      <c r="G125" s="3" t="s">
        <v>6</v>
      </c>
      <c r="H125" s="2" t="s">
        <v>7</v>
      </c>
      <c r="I125" s="2" t="s">
        <v>5</v>
      </c>
      <c r="J125" s="3" t="s">
        <v>6</v>
      </c>
      <c r="K125" s="2" t="s">
        <v>7</v>
      </c>
    </row>
    <row r="126" spans="1:11" x14ac:dyDescent="0.25">
      <c r="A126" s="1"/>
      <c r="B126" s="1" t="s">
        <v>42</v>
      </c>
      <c r="C126" s="1"/>
      <c r="D126" s="34"/>
      <c r="E126" s="1"/>
      <c r="F126" s="1"/>
      <c r="G126" s="34"/>
      <c r="H126" s="1"/>
      <c r="I126" s="1">
        <v>0</v>
      </c>
      <c r="J126" s="34">
        <v>0</v>
      </c>
      <c r="K126" s="1">
        <v>0</v>
      </c>
    </row>
    <row r="127" spans="1:11" ht="15.75" x14ac:dyDescent="0.25">
      <c r="A127" s="7">
        <v>42009</v>
      </c>
      <c r="B127" s="8" t="s">
        <v>43</v>
      </c>
      <c r="C127" s="6">
        <v>50</v>
      </c>
      <c r="D127" s="27">
        <f>+E127/C127</f>
        <v>0.15</v>
      </c>
      <c r="E127" s="8">
        <v>7.5</v>
      </c>
      <c r="F127" s="8"/>
      <c r="G127" s="27"/>
      <c r="H127" s="8"/>
      <c r="I127" s="6">
        <f>+I126+C127</f>
        <v>50</v>
      </c>
      <c r="J127" s="27">
        <f>+K127/I127</f>
        <v>0.15</v>
      </c>
      <c r="K127" s="8">
        <f>+K126+E127</f>
        <v>7.5</v>
      </c>
    </row>
    <row r="128" spans="1:11" ht="30" x14ac:dyDescent="0.25">
      <c r="A128" s="307"/>
      <c r="B128" s="309" t="s">
        <v>569</v>
      </c>
      <c r="C128" s="222"/>
      <c r="D128" s="223"/>
      <c r="E128" s="222"/>
      <c r="F128" s="222">
        <v>0.5</v>
      </c>
      <c r="G128" s="223">
        <f>+J127</f>
        <v>0.15</v>
      </c>
      <c r="H128" s="223">
        <f>+G128*F128</f>
        <v>7.4999999999999997E-2</v>
      </c>
      <c r="I128" s="222">
        <f>+I127-F128</f>
        <v>49.5</v>
      </c>
      <c r="J128" s="223"/>
      <c r="K128" s="223">
        <f>+K127-H128</f>
        <v>7.4249999999999998</v>
      </c>
    </row>
    <row r="129" spans="1:11" x14ac:dyDescent="0.25">
      <c r="A129" s="5"/>
      <c r="B129" s="2"/>
      <c r="C129" s="2"/>
      <c r="D129" s="3"/>
      <c r="E129" s="2"/>
      <c r="F129" s="2"/>
      <c r="G129" s="3"/>
      <c r="H129" s="2"/>
      <c r="I129" s="2"/>
      <c r="J129" s="3"/>
      <c r="K129" s="3"/>
    </row>
    <row r="130" spans="1:11" x14ac:dyDescent="0.25">
      <c r="A130" s="5"/>
      <c r="B130" s="2"/>
      <c r="C130" s="2"/>
      <c r="D130" s="3"/>
      <c r="E130" s="2"/>
      <c r="F130" s="2"/>
      <c r="G130" s="3"/>
      <c r="H130" s="3"/>
      <c r="I130" s="2"/>
      <c r="J130" s="3"/>
      <c r="K130" s="3"/>
    </row>
    <row r="134" spans="1:11" ht="15.75" x14ac:dyDescent="0.25">
      <c r="A134" s="456" t="s">
        <v>10</v>
      </c>
      <c r="B134" s="456"/>
      <c r="C134" s="456"/>
      <c r="D134" s="456"/>
      <c r="E134" s="456"/>
      <c r="F134" s="456"/>
      <c r="G134" s="456"/>
      <c r="H134" s="456"/>
      <c r="I134" s="456"/>
      <c r="J134" s="456"/>
      <c r="K134" s="456"/>
    </row>
    <row r="135" spans="1:11" ht="15.75" x14ac:dyDescent="0.25">
      <c r="A135" s="456" t="s">
        <v>11</v>
      </c>
      <c r="B135" s="456"/>
      <c r="C135" s="456"/>
      <c r="D135" s="456"/>
      <c r="E135" s="456"/>
      <c r="F135" s="456"/>
      <c r="G135" s="456"/>
      <c r="H135" s="456"/>
      <c r="I135" s="456"/>
      <c r="J135" s="456"/>
      <c r="K135" s="456"/>
    </row>
    <row r="136" spans="1:11" x14ac:dyDescent="0.25">
      <c r="A136" s="2" t="s">
        <v>8</v>
      </c>
      <c r="B136" s="465" t="s">
        <v>124</v>
      </c>
      <c r="C136" s="466"/>
      <c r="D136" s="466"/>
      <c r="E136" s="467"/>
      <c r="F136" s="9" t="s">
        <v>48</v>
      </c>
      <c r="G136" s="468" t="s">
        <v>49</v>
      </c>
      <c r="H136" s="469"/>
      <c r="I136" s="469"/>
      <c r="J136" s="469"/>
      <c r="K136" s="470"/>
    </row>
    <row r="137" spans="1:11" x14ac:dyDescent="0.25">
      <c r="A137" s="4" t="s">
        <v>9</v>
      </c>
      <c r="B137" s="471" t="s">
        <v>125</v>
      </c>
      <c r="C137" s="471"/>
      <c r="D137" s="471"/>
      <c r="E137" s="471"/>
      <c r="F137" s="11" t="s">
        <v>50</v>
      </c>
      <c r="G137" s="471" t="s">
        <v>161</v>
      </c>
      <c r="H137" s="471"/>
      <c r="I137" s="471"/>
      <c r="J137" s="471"/>
      <c r="K137" s="471"/>
    </row>
    <row r="138" spans="1:11" x14ac:dyDescent="0.25">
      <c r="A138" s="464" t="s">
        <v>0</v>
      </c>
      <c r="B138" s="464" t="s">
        <v>1</v>
      </c>
      <c r="C138" s="464" t="s">
        <v>2</v>
      </c>
      <c r="D138" s="464"/>
      <c r="E138" s="464"/>
      <c r="F138" s="464" t="s">
        <v>3</v>
      </c>
      <c r="G138" s="464"/>
      <c r="H138" s="464"/>
      <c r="I138" s="464" t="s">
        <v>4</v>
      </c>
      <c r="J138" s="464"/>
      <c r="K138" s="464"/>
    </row>
    <row r="139" spans="1:11" x14ac:dyDescent="0.25">
      <c r="A139" s="464"/>
      <c r="B139" s="464"/>
      <c r="C139" s="2" t="s">
        <v>5</v>
      </c>
      <c r="D139" s="3" t="s">
        <v>6</v>
      </c>
      <c r="E139" s="2" t="s">
        <v>7</v>
      </c>
      <c r="F139" s="2" t="s">
        <v>5</v>
      </c>
      <c r="G139" s="3" t="s">
        <v>6</v>
      </c>
      <c r="H139" s="2" t="s">
        <v>7</v>
      </c>
      <c r="I139" s="2" t="s">
        <v>5</v>
      </c>
      <c r="J139" s="3" t="s">
        <v>6</v>
      </c>
      <c r="K139" s="2" t="s">
        <v>7</v>
      </c>
    </row>
    <row r="140" spans="1:11" x14ac:dyDescent="0.25">
      <c r="A140" s="1"/>
      <c r="B140" s="1" t="s">
        <v>42</v>
      </c>
      <c r="C140" s="1"/>
      <c r="D140" s="34"/>
      <c r="E140" s="1"/>
      <c r="F140" s="1"/>
      <c r="G140" s="34"/>
      <c r="H140" s="1"/>
      <c r="I140" s="1">
        <v>0</v>
      </c>
      <c r="J140" s="34">
        <v>0</v>
      </c>
      <c r="K140" s="1">
        <v>0</v>
      </c>
    </row>
    <row r="141" spans="1:11" ht="15.75" x14ac:dyDescent="0.25">
      <c r="A141" s="7">
        <v>42009</v>
      </c>
      <c r="B141" s="8" t="s">
        <v>43</v>
      </c>
      <c r="C141" s="6">
        <v>80</v>
      </c>
      <c r="D141" s="27">
        <f>+E141/C141</f>
        <v>0.10075000000000001</v>
      </c>
      <c r="E141" s="8">
        <v>8.06</v>
      </c>
      <c r="F141" s="8"/>
      <c r="G141" s="27"/>
      <c r="H141" s="8"/>
      <c r="I141" s="6">
        <f>+I140+C141</f>
        <v>80</v>
      </c>
      <c r="J141" s="27">
        <f>+K141/I141</f>
        <v>0.10075000000000001</v>
      </c>
      <c r="K141" s="8">
        <f>+K140+E141</f>
        <v>8.06</v>
      </c>
    </row>
    <row r="142" spans="1:11" ht="30" x14ac:dyDescent="0.25">
      <c r="A142" s="307"/>
      <c r="B142" s="309" t="s">
        <v>569</v>
      </c>
      <c r="C142" s="222"/>
      <c r="D142" s="223"/>
      <c r="E142" s="222"/>
      <c r="F142" s="222">
        <v>1</v>
      </c>
      <c r="G142" s="223">
        <f>+J141</f>
        <v>0.10075000000000001</v>
      </c>
      <c r="H142" s="223">
        <f>+G142*F142</f>
        <v>0.10075000000000001</v>
      </c>
      <c r="I142" s="222">
        <f>+I141-F142</f>
        <v>79</v>
      </c>
      <c r="J142" s="342">
        <f>+K142/I142</f>
        <v>0.10075000000000001</v>
      </c>
      <c r="K142" s="223">
        <f>+K141-H142</f>
        <v>7.9592500000000008</v>
      </c>
    </row>
    <row r="143" spans="1:11" x14ac:dyDescent="0.25">
      <c r="A143" s="5"/>
      <c r="B143" s="2"/>
      <c r="C143" s="2"/>
      <c r="D143" s="3"/>
      <c r="E143" s="2"/>
      <c r="F143" s="2"/>
      <c r="G143" s="3"/>
      <c r="H143" s="2"/>
      <c r="I143" s="2"/>
      <c r="J143" s="3"/>
      <c r="K143" s="3"/>
    </row>
    <row r="144" spans="1:11" x14ac:dyDescent="0.25">
      <c r="A144" s="5"/>
      <c r="B144" s="2"/>
      <c r="C144" s="2"/>
      <c r="D144" s="3"/>
      <c r="E144" s="2"/>
      <c r="F144" s="2"/>
      <c r="G144" s="3"/>
      <c r="H144" s="3"/>
      <c r="I144" s="2"/>
      <c r="J144" s="3"/>
      <c r="K144" s="3"/>
    </row>
    <row r="147" spans="1:11" ht="15.75" x14ac:dyDescent="0.25">
      <c r="A147" s="456" t="s">
        <v>10</v>
      </c>
      <c r="B147" s="456"/>
      <c r="C147" s="456"/>
      <c r="D147" s="456"/>
      <c r="E147" s="456"/>
      <c r="F147" s="456"/>
      <c r="G147" s="456"/>
      <c r="H147" s="456"/>
      <c r="I147" s="456"/>
      <c r="J147" s="456"/>
      <c r="K147" s="456"/>
    </row>
    <row r="148" spans="1:11" ht="15.75" x14ac:dyDescent="0.25">
      <c r="A148" s="456" t="s">
        <v>11</v>
      </c>
      <c r="B148" s="456"/>
      <c r="C148" s="456"/>
      <c r="D148" s="456"/>
      <c r="E148" s="456"/>
      <c r="F148" s="456"/>
      <c r="G148" s="456"/>
      <c r="H148" s="456"/>
      <c r="I148" s="456"/>
      <c r="J148" s="456"/>
      <c r="K148" s="456"/>
    </row>
    <row r="149" spans="1:11" x14ac:dyDescent="0.25">
      <c r="A149" s="2" t="s">
        <v>8</v>
      </c>
      <c r="B149" s="465" t="s">
        <v>127</v>
      </c>
      <c r="C149" s="466"/>
      <c r="D149" s="466"/>
      <c r="E149" s="467"/>
      <c r="F149" s="9" t="s">
        <v>48</v>
      </c>
      <c r="G149" s="468" t="s">
        <v>49</v>
      </c>
      <c r="H149" s="469"/>
      <c r="I149" s="469"/>
      <c r="J149" s="469"/>
      <c r="K149" s="470"/>
    </row>
    <row r="150" spans="1:11" x14ac:dyDescent="0.25">
      <c r="A150" s="4" t="s">
        <v>9</v>
      </c>
      <c r="B150" s="471" t="s">
        <v>66</v>
      </c>
      <c r="C150" s="471"/>
      <c r="D150" s="471"/>
      <c r="E150" s="471"/>
      <c r="F150" s="11" t="s">
        <v>50</v>
      </c>
      <c r="G150" s="471" t="s">
        <v>123</v>
      </c>
      <c r="H150" s="471"/>
      <c r="I150" s="471"/>
      <c r="J150" s="471"/>
      <c r="K150" s="471"/>
    </row>
    <row r="151" spans="1:11" x14ac:dyDescent="0.25">
      <c r="A151" s="464" t="s">
        <v>0</v>
      </c>
      <c r="B151" s="464" t="s">
        <v>1</v>
      </c>
      <c r="C151" s="464" t="s">
        <v>2</v>
      </c>
      <c r="D151" s="464"/>
      <c r="E151" s="464"/>
      <c r="F151" s="464" t="s">
        <v>3</v>
      </c>
      <c r="G151" s="464"/>
      <c r="H151" s="464"/>
      <c r="I151" s="464" t="s">
        <v>4</v>
      </c>
      <c r="J151" s="464"/>
      <c r="K151" s="464"/>
    </row>
    <row r="152" spans="1:11" x14ac:dyDescent="0.25">
      <c r="A152" s="464"/>
      <c r="B152" s="464"/>
      <c r="C152" s="2" t="s">
        <v>5</v>
      </c>
      <c r="D152" s="3" t="s">
        <v>6</v>
      </c>
      <c r="E152" s="2" t="s">
        <v>7</v>
      </c>
      <c r="F152" s="2" t="s">
        <v>5</v>
      </c>
      <c r="G152" s="3" t="s">
        <v>6</v>
      </c>
      <c r="H152" s="2" t="s">
        <v>7</v>
      </c>
      <c r="I152" s="2" t="s">
        <v>5</v>
      </c>
      <c r="J152" s="3" t="s">
        <v>6</v>
      </c>
      <c r="K152" s="2" t="s">
        <v>7</v>
      </c>
    </row>
    <row r="153" spans="1:11" x14ac:dyDescent="0.25">
      <c r="A153" s="1"/>
      <c r="B153" s="1" t="s">
        <v>42</v>
      </c>
      <c r="C153" s="1"/>
      <c r="D153" s="34"/>
      <c r="E153" s="1"/>
      <c r="F153" s="1"/>
      <c r="G153" s="34"/>
      <c r="H153" s="1"/>
      <c r="I153" s="1">
        <v>0</v>
      </c>
      <c r="J153" s="34">
        <v>0</v>
      </c>
      <c r="K153" s="1">
        <v>0</v>
      </c>
    </row>
    <row r="154" spans="1:11" ht="15.75" x14ac:dyDescent="0.25">
      <c r="A154" s="7">
        <v>42009</v>
      </c>
      <c r="B154" s="8" t="s">
        <v>43</v>
      </c>
      <c r="C154" s="6">
        <v>100</v>
      </c>
      <c r="D154" s="27">
        <f>+E154/C154</f>
        <v>0.05</v>
      </c>
      <c r="E154" s="8">
        <v>5</v>
      </c>
      <c r="F154" s="8"/>
      <c r="G154" s="27"/>
      <c r="H154" s="8"/>
      <c r="I154" s="6">
        <f>+I153+C154</f>
        <v>100</v>
      </c>
      <c r="J154" s="27">
        <f>+K154/I154</f>
        <v>0.05</v>
      </c>
      <c r="K154" s="8">
        <f>+K153+E154</f>
        <v>5</v>
      </c>
    </row>
    <row r="155" spans="1:11" ht="30" x14ac:dyDescent="0.25">
      <c r="A155" s="307"/>
      <c r="B155" s="309" t="s">
        <v>569</v>
      </c>
      <c r="C155" s="222"/>
      <c r="D155" s="223"/>
      <c r="E155" s="222"/>
      <c r="F155" s="222">
        <v>1.5</v>
      </c>
      <c r="G155" s="223">
        <f>+J154</f>
        <v>0.05</v>
      </c>
      <c r="H155" s="223">
        <f>+G155*F155</f>
        <v>7.5000000000000011E-2</v>
      </c>
      <c r="I155" s="222">
        <f>+I154-F155</f>
        <v>98.5</v>
      </c>
      <c r="J155" s="223">
        <f>+K155/I155</f>
        <v>4.9999999999999996E-2</v>
      </c>
      <c r="K155" s="223">
        <f>+K154-H155</f>
        <v>4.9249999999999998</v>
      </c>
    </row>
    <row r="156" spans="1:11" x14ac:dyDescent="0.25">
      <c r="A156" s="5"/>
      <c r="B156" s="2"/>
      <c r="C156" s="2"/>
      <c r="D156" s="3"/>
      <c r="E156" s="2"/>
      <c r="F156" s="2"/>
      <c r="G156" s="3"/>
      <c r="H156" s="2"/>
      <c r="I156" s="2"/>
      <c r="J156" s="3"/>
      <c r="K156" s="3"/>
    </row>
    <row r="157" spans="1:11" x14ac:dyDescent="0.25">
      <c r="A157" s="5"/>
      <c r="B157" s="2"/>
      <c r="C157" s="2"/>
      <c r="D157" s="3"/>
      <c r="E157" s="2"/>
      <c r="F157" s="2"/>
      <c r="G157" s="3"/>
      <c r="H157" s="3"/>
      <c r="I157" s="2"/>
      <c r="J157" s="3"/>
      <c r="K157" s="3"/>
    </row>
    <row r="162" spans="1:11" ht="15.75" x14ac:dyDescent="0.25">
      <c r="A162" s="456" t="s">
        <v>10</v>
      </c>
      <c r="B162" s="456"/>
      <c r="C162" s="456"/>
      <c r="D162" s="456"/>
      <c r="E162" s="456"/>
      <c r="F162" s="456"/>
      <c r="G162" s="456"/>
      <c r="H162" s="456"/>
      <c r="I162" s="456"/>
      <c r="J162" s="456"/>
      <c r="K162" s="456"/>
    </row>
    <row r="163" spans="1:11" ht="15.75" x14ac:dyDescent="0.25">
      <c r="A163" s="456" t="s">
        <v>11</v>
      </c>
      <c r="B163" s="456"/>
      <c r="C163" s="456"/>
      <c r="D163" s="456"/>
      <c r="E163" s="456"/>
      <c r="F163" s="456"/>
      <c r="G163" s="456"/>
      <c r="H163" s="456"/>
      <c r="I163" s="456"/>
      <c r="J163" s="456"/>
      <c r="K163" s="456"/>
    </row>
    <row r="164" spans="1:11" x14ac:dyDescent="0.25">
      <c r="A164" s="2" t="s">
        <v>8</v>
      </c>
      <c r="B164" s="465" t="s">
        <v>128</v>
      </c>
      <c r="C164" s="466"/>
      <c r="D164" s="466"/>
      <c r="E164" s="467"/>
      <c r="F164" s="9" t="s">
        <v>48</v>
      </c>
      <c r="G164" s="468" t="s">
        <v>49</v>
      </c>
      <c r="H164" s="469"/>
      <c r="I164" s="469"/>
      <c r="J164" s="469"/>
      <c r="K164" s="470"/>
    </row>
    <row r="165" spans="1:11" x14ac:dyDescent="0.25">
      <c r="A165" s="4" t="s">
        <v>9</v>
      </c>
      <c r="B165" s="471" t="s">
        <v>66</v>
      </c>
      <c r="C165" s="471"/>
      <c r="D165" s="471"/>
      <c r="E165" s="471"/>
      <c r="F165" s="11" t="s">
        <v>50</v>
      </c>
      <c r="G165" s="471" t="s">
        <v>123</v>
      </c>
      <c r="H165" s="471"/>
      <c r="I165" s="471"/>
      <c r="J165" s="471"/>
      <c r="K165" s="471"/>
    </row>
    <row r="166" spans="1:11" x14ac:dyDescent="0.25">
      <c r="A166" s="464" t="s">
        <v>0</v>
      </c>
      <c r="B166" s="464" t="s">
        <v>1</v>
      </c>
      <c r="C166" s="464" t="s">
        <v>2</v>
      </c>
      <c r="D166" s="464"/>
      <c r="E166" s="464"/>
      <c r="F166" s="464" t="s">
        <v>3</v>
      </c>
      <c r="G166" s="464"/>
      <c r="H166" s="464"/>
      <c r="I166" s="464" t="s">
        <v>4</v>
      </c>
      <c r="J166" s="464"/>
      <c r="K166" s="464"/>
    </row>
    <row r="167" spans="1:11" x14ac:dyDescent="0.25">
      <c r="A167" s="464"/>
      <c r="B167" s="464"/>
      <c r="C167" s="2" t="s">
        <v>5</v>
      </c>
      <c r="D167" s="3" t="s">
        <v>6</v>
      </c>
      <c r="E167" s="2" t="s">
        <v>7</v>
      </c>
      <c r="F167" s="2" t="s">
        <v>5</v>
      </c>
      <c r="G167" s="3" t="s">
        <v>6</v>
      </c>
      <c r="H167" s="2" t="s">
        <v>7</v>
      </c>
      <c r="I167" s="2" t="s">
        <v>5</v>
      </c>
      <c r="J167" s="3" t="s">
        <v>6</v>
      </c>
      <c r="K167" s="2" t="s">
        <v>7</v>
      </c>
    </row>
    <row r="168" spans="1:11" x14ac:dyDescent="0.25">
      <c r="A168" s="1"/>
      <c r="B168" s="1" t="s">
        <v>42</v>
      </c>
      <c r="C168" s="1"/>
      <c r="D168" s="34"/>
      <c r="E168" s="1"/>
      <c r="F168" s="1"/>
      <c r="G168" s="34"/>
      <c r="H168" s="1"/>
      <c r="I168" s="1">
        <v>0</v>
      </c>
      <c r="J168" s="34">
        <v>0</v>
      </c>
      <c r="K168" s="1">
        <v>0</v>
      </c>
    </row>
    <row r="169" spans="1:11" ht="15.75" x14ac:dyDescent="0.25">
      <c r="A169" s="7">
        <v>42009</v>
      </c>
      <c r="B169" s="8" t="s">
        <v>43</v>
      </c>
      <c r="C169" s="6">
        <v>100</v>
      </c>
      <c r="D169" s="27">
        <f>+E169/C169</f>
        <v>0.316</v>
      </c>
      <c r="E169" s="8">
        <v>31.6</v>
      </c>
      <c r="F169" s="8"/>
      <c r="G169" s="27"/>
      <c r="H169" s="8"/>
      <c r="I169" s="6">
        <f>+I168+C169</f>
        <v>100</v>
      </c>
      <c r="J169" s="27">
        <f>+K169/I169</f>
        <v>0.316</v>
      </c>
      <c r="K169" s="8">
        <f>+K168+E169</f>
        <v>31.6</v>
      </c>
    </row>
    <row r="170" spans="1:11" ht="30" x14ac:dyDescent="0.25">
      <c r="A170" s="307"/>
      <c r="B170" s="309" t="s">
        <v>569</v>
      </c>
      <c r="C170" s="222"/>
      <c r="D170" s="223"/>
      <c r="E170" s="222"/>
      <c r="F170" s="222">
        <v>1</v>
      </c>
      <c r="G170" s="223">
        <f>+J169</f>
        <v>0.316</v>
      </c>
      <c r="H170" s="223">
        <f>+G170*F170</f>
        <v>0.316</v>
      </c>
      <c r="I170" s="222">
        <f>+I169-F170</f>
        <v>99</v>
      </c>
      <c r="J170" s="223">
        <f>+K170/I170</f>
        <v>0.316</v>
      </c>
      <c r="K170" s="223">
        <f>+K169-H170</f>
        <v>31.284000000000002</v>
      </c>
    </row>
    <row r="171" spans="1:11" x14ac:dyDescent="0.25">
      <c r="A171" s="5"/>
      <c r="B171" s="2"/>
      <c r="C171" s="2"/>
      <c r="D171" s="3"/>
      <c r="E171" s="2"/>
      <c r="F171" s="2"/>
      <c r="G171" s="3"/>
      <c r="H171" s="2"/>
      <c r="I171" s="2"/>
      <c r="J171" s="3"/>
      <c r="K171" s="3"/>
    </row>
    <row r="172" spans="1:11" x14ac:dyDescent="0.25">
      <c r="A172" s="5"/>
      <c r="B172" s="2"/>
      <c r="C172" s="2"/>
      <c r="D172" s="3"/>
      <c r="E172" s="2"/>
      <c r="F172" s="2"/>
      <c r="G172" s="3"/>
      <c r="H172" s="3"/>
      <c r="I172" s="2"/>
      <c r="J172" s="3"/>
      <c r="K172" s="3"/>
    </row>
    <row r="176" spans="1:11" ht="15.75" x14ac:dyDescent="0.25">
      <c r="A176" s="456" t="s">
        <v>10</v>
      </c>
      <c r="B176" s="456"/>
      <c r="C176" s="456"/>
      <c r="D176" s="456"/>
      <c r="E176" s="456"/>
      <c r="F176" s="456"/>
      <c r="G176" s="456"/>
      <c r="H176" s="456"/>
      <c r="I176" s="456"/>
      <c r="J176" s="456"/>
      <c r="K176" s="456"/>
    </row>
    <row r="177" spans="1:11" ht="15.75" x14ac:dyDescent="0.25">
      <c r="A177" s="456" t="s">
        <v>11</v>
      </c>
      <c r="B177" s="456"/>
      <c r="C177" s="456"/>
      <c r="D177" s="456"/>
      <c r="E177" s="456"/>
      <c r="F177" s="456"/>
      <c r="G177" s="456"/>
      <c r="H177" s="456"/>
      <c r="I177" s="456"/>
      <c r="J177" s="456"/>
      <c r="K177" s="456"/>
    </row>
    <row r="178" spans="1:11" x14ac:dyDescent="0.25">
      <c r="A178" s="2" t="s">
        <v>8</v>
      </c>
      <c r="B178" s="465" t="s">
        <v>129</v>
      </c>
      <c r="C178" s="466"/>
      <c r="D178" s="466"/>
      <c r="E178" s="467"/>
      <c r="F178" s="9" t="s">
        <v>48</v>
      </c>
      <c r="G178" s="468" t="s">
        <v>49</v>
      </c>
      <c r="H178" s="469"/>
      <c r="I178" s="469"/>
      <c r="J178" s="469"/>
      <c r="K178" s="470"/>
    </row>
    <row r="179" spans="1:11" x14ac:dyDescent="0.25">
      <c r="A179" s="4" t="s">
        <v>9</v>
      </c>
      <c r="B179" s="471" t="s">
        <v>66</v>
      </c>
      <c r="C179" s="471"/>
      <c r="D179" s="471"/>
      <c r="E179" s="471"/>
      <c r="F179" s="11" t="s">
        <v>50</v>
      </c>
      <c r="G179" s="471" t="s">
        <v>123</v>
      </c>
      <c r="H179" s="471"/>
      <c r="I179" s="471"/>
      <c r="J179" s="471"/>
      <c r="K179" s="471"/>
    </row>
    <row r="180" spans="1:11" x14ac:dyDescent="0.25">
      <c r="A180" s="464" t="s">
        <v>0</v>
      </c>
      <c r="B180" s="464" t="s">
        <v>1</v>
      </c>
      <c r="C180" s="464" t="s">
        <v>2</v>
      </c>
      <c r="D180" s="464"/>
      <c r="E180" s="464"/>
      <c r="F180" s="464" t="s">
        <v>3</v>
      </c>
      <c r="G180" s="464"/>
      <c r="H180" s="464"/>
      <c r="I180" s="464" t="s">
        <v>4</v>
      </c>
      <c r="J180" s="464"/>
      <c r="K180" s="464"/>
    </row>
    <row r="181" spans="1:11" x14ac:dyDescent="0.25">
      <c r="A181" s="464"/>
      <c r="B181" s="464"/>
      <c r="C181" s="2" t="s">
        <v>5</v>
      </c>
      <c r="D181" s="3" t="s">
        <v>6</v>
      </c>
      <c r="E181" s="2" t="s">
        <v>7</v>
      </c>
      <c r="F181" s="2" t="s">
        <v>5</v>
      </c>
      <c r="G181" s="3" t="s">
        <v>6</v>
      </c>
      <c r="H181" s="2" t="s">
        <v>7</v>
      </c>
      <c r="I181" s="2" t="s">
        <v>5</v>
      </c>
      <c r="J181" s="3" t="s">
        <v>6</v>
      </c>
      <c r="K181" s="2" t="s">
        <v>7</v>
      </c>
    </row>
    <row r="182" spans="1:11" x14ac:dyDescent="0.25">
      <c r="A182" s="1"/>
      <c r="B182" s="1" t="s">
        <v>42</v>
      </c>
      <c r="C182" s="1"/>
      <c r="D182" s="34"/>
      <c r="E182" s="1"/>
      <c r="F182" s="1"/>
      <c r="G182" s="34"/>
      <c r="H182" s="1"/>
      <c r="I182" s="1">
        <v>0</v>
      </c>
      <c r="J182" s="34">
        <v>0</v>
      </c>
      <c r="K182" s="1">
        <v>0</v>
      </c>
    </row>
    <row r="183" spans="1:11" ht="15.75" x14ac:dyDescent="0.25">
      <c r="A183" s="7">
        <v>42009</v>
      </c>
      <c r="B183" s="8" t="s">
        <v>43</v>
      </c>
      <c r="C183" s="6">
        <v>100</v>
      </c>
      <c r="D183" s="27">
        <f>+E183/C183</f>
        <v>0.14560000000000001</v>
      </c>
      <c r="E183" s="8">
        <v>14.56</v>
      </c>
      <c r="F183" s="8"/>
      <c r="G183" s="27"/>
      <c r="H183" s="8"/>
      <c r="I183" s="6">
        <f>+I182+C183</f>
        <v>100</v>
      </c>
      <c r="J183" s="27">
        <f>+K183/I183</f>
        <v>0.14560000000000001</v>
      </c>
      <c r="K183" s="8">
        <f>+K182+E183</f>
        <v>14.56</v>
      </c>
    </row>
    <row r="184" spans="1:11" ht="30" x14ac:dyDescent="0.25">
      <c r="A184" s="307"/>
      <c r="B184" s="309" t="s">
        <v>569</v>
      </c>
      <c r="C184" s="222"/>
      <c r="D184" s="223"/>
      <c r="E184" s="222"/>
      <c r="F184" s="222">
        <v>1.5</v>
      </c>
      <c r="G184" s="223">
        <f>+J183</f>
        <v>0.14560000000000001</v>
      </c>
      <c r="H184" s="223">
        <f>+G184*F184</f>
        <v>0.21840000000000001</v>
      </c>
      <c r="I184" s="222">
        <f>+I183-F184</f>
        <v>98.5</v>
      </c>
      <c r="J184" s="223">
        <f>+K184/I184</f>
        <v>0.14560000000000001</v>
      </c>
      <c r="K184" s="223">
        <f>+K183-H184</f>
        <v>14.3416</v>
      </c>
    </row>
    <row r="185" spans="1:11" x14ac:dyDescent="0.25">
      <c r="A185" s="5"/>
      <c r="B185" s="2"/>
      <c r="C185" s="2"/>
      <c r="D185" s="3"/>
      <c r="E185" s="2"/>
      <c r="F185" s="2"/>
      <c r="G185" s="3"/>
      <c r="H185" s="2"/>
      <c r="I185" s="2"/>
      <c r="J185" s="3"/>
      <c r="K185" s="3"/>
    </row>
    <row r="186" spans="1:11" x14ac:dyDescent="0.25">
      <c r="A186" s="5"/>
      <c r="B186" s="2"/>
      <c r="C186" s="2"/>
      <c r="D186" s="3"/>
      <c r="E186" s="2"/>
      <c r="F186" s="2"/>
      <c r="G186" s="3"/>
      <c r="H186" s="3"/>
      <c r="I186" s="2"/>
      <c r="J186" s="3"/>
      <c r="K186" s="3"/>
    </row>
    <row r="189" spans="1:11" ht="15.75" x14ac:dyDescent="0.25">
      <c r="A189" s="456" t="s">
        <v>10</v>
      </c>
      <c r="B189" s="456"/>
      <c r="C189" s="456"/>
      <c r="D189" s="456"/>
      <c r="E189" s="456"/>
      <c r="F189" s="456"/>
      <c r="G189" s="456"/>
      <c r="H189" s="456"/>
      <c r="I189" s="456"/>
      <c r="J189" s="456"/>
      <c r="K189" s="456"/>
    </row>
    <row r="190" spans="1:11" ht="15.75" x14ac:dyDescent="0.25">
      <c r="A190" s="456" t="s">
        <v>11</v>
      </c>
      <c r="B190" s="456"/>
      <c r="C190" s="456"/>
      <c r="D190" s="456"/>
      <c r="E190" s="456"/>
      <c r="F190" s="456"/>
      <c r="G190" s="456"/>
      <c r="H190" s="456"/>
      <c r="I190" s="456"/>
      <c r="J190" s="456"/>
      <c r="K190" s="456"/>
    </row>
    <row r="191" spans="1:11" x14ac:dyDescent="0.25">
      <c r="A191" s="2" t="s">
        <v>8</v>
      </c>
      <c r="B191" s="465" t="s">
        <v>130</v>
      </c>
      <c r="C191" s="466"/>
      <c r="D191" s="466"/>
      <c r="E191" s="467"/>
      <c r="F191" s="9" t="s">
        <v>48</v>
      </c>
      <c r="G191" s="468" t="s">
        <v>49</v>
      </c>
      <c r="H191" s="469"/>
      <c r="I191" s="469"/>
      <c r="J191" s="469"/>
      <c r="K191" s="470"/>
    </row>
    <row r="192" spans="1:11" x14ac:dyDescent="0.25">
      <c r="A192" s="4" t="s">
        <v>9</v>
      </c>
      <c r="B192" s="471" t="s">
        <v>66</v>
      </c>
      <c r="C192" s="471"/>
      <c r="D192" s="471"/>
      <c r="E192" s="471"/>
      <c r="F192" s="11" t="s">
        <v>50</v>
      </c>
      <c r="G192" s="471" t="s">
        <v>123</v>
      </c>
      <c r="H192" s="471"/>
      <c r="I192" s="471"/>
      <c r="J192" s="471"/>
      <c r="K192" s="471"/>
    </row>
    <row r="193" spans="1:11" x14ac:dyDescent="0.25">
      <c r="A193" s="464" t="s">
        <v>0</v>
      </c>
      <c r="B193" s="464" t="s">
        <v>1</v>
      </c>
      <c r="C193" s="464" t="s">
        <v>2</v>
      </c>
      <c r="D193" s="464"/>
      <c r="E193" s="464"/>
      <c r="F193" s="464" t="s">
        <v>3</v>
      </c>
      <c r="G193" s="464"/>
      <c r="H193" s="464"/>
      <c r="I193" s="464" t="s">
        <v>4</v>
      </c>
      <c r="J193" s="464"/>
      <c r="K193" s="464"/>
    </row>
    <row r="194" spans="1:11" x14ac:dyDescent="0.25">
      <c r="A194" s="464"/>
      <c r="B194" s="464"/>
      <c r="C194" s="2" t="s">
        <v>5</v>
      </c>
      <c r="D194" s="3" t="s">
        <v>6</v>
      </c>
      <c r="E194" s="2" t="s">
        <v>7</v>
      </c>
      <c r="F194" s="2" t="s">
        <v>5</v>
      </c>
      <c r="G194" s="3" t="s">
        <v>6</v>
      </c>
      <c r="H194" s="2" t="s">
        <v>7</v>
      </c>
      <c r="I194" s="2" t="s">
        <v>5</v>
      </c>
      <c r="J194" s="3" t="s">
        <v>6</v>
      </c>
      <c r="K194" s="2" t="s">
        <v>7</v>
      </c>
    </row>
    <row r="195" spans="1:11" x14ac:dyDescent="0.25">
      <c r="A195" s="1"/>
      <c r="B195" s="1" t="s">
        <v>42</v>
      </c>
      <c r="C195" s="1"/>
      <c r="D195" s="34"/>
      <c r="E195" s="1"/>
      <c r="F195" s="1"/>
      <c r="G195" s="34"/>
      <c r="H195" s="1"/>
      <c r="I195" s="1">
        <v>0</v>
      </c>
      <c r="J195" s="34">
        <v>0</v>
      </c>
      <c r="K195" s="1">
        <v>0</v>
      </c>
    </row>
    <row r="196" spans="1:11" ht="15.75" x14ac:dyDescent="0.25">
      <c r="A196" s="7">
        <v>42009</v>
      </c>
      <c r="B196" s="8" t="s">
        <v>43</v>
      </c>
      <c r="C196" s="6">
        <v>100</v>
      </c>
      <c r="D196" s="27">
        <f>+E196/C196</f>
        <v>0.18539999999999998</v>
      </c>
      <c r="E196" s="8">
        <v>18.54</v>
      </c>
      <c r="F196" s="8"/>
      <c r="G196" s="27"/>
      <c r="H196" s="8"/>
      <c r="I196" s="6">
        <f>+I195+C196</f>
        <v>100</v>
      </c>
      <c r="J196" s="27">
        <f>+K196/I196</f>
        <v>0.18539999999999998</v>
      </c>
      <c r="K196" s="8">
        <f>+K195+E196</f>
        <v>18.54</v>
      </c>
    </row>
    <row r="197" spans="1:11" ht="30" x14ac:dyDescent="0.25">
      <c r="A197" s="307"/>
      <c r="B197" s="309" t="s">
        <v>569</v>
      </c>
      <c r="C197" s="222"/>
      <c r="D197" s="223"/>
      <c r="E197" s="222"/>
      <c r="F197" s="222">
        <v>1.5</v>
      </c>
      <c r="G197" s="223">
        <f>+J196</f>
        <v>0.18539999999999998</v>
      </c>
      <c r="H197" s="223">
        <f>+G197*F197</f>
        <v>0.27809999999999996</v>
      </c>
      <c r="I197" s="222">
        <f>+I196-F197</f>
        <v>98.5</v>
      </c>
      <c r="J197" s="223">
        <f>+K197/I197</f>
        <v>0.18540000000000001</v>
      </c>
      <c r="K197" s="223">
        <f>+K196-H197</f>
        <v>18.261900000000001</v>
      </c>
    </row>
    <row r="198" spans="1:11" x14ac:dyDescent="0.25">
      <c r="A198" s="5"/>
      <c r="B198" s="2"/>
      <c r="C198" s="2"/>
      <c r="D198" s="3"/>
      <c r="E198" s="2"/>
      <c r="F198" s="2"/>
      <c r="G198" s="3"/>
      <c r="H198" s="2"/>
      <c r="I198" s="2"/>
      <c r="J198" s="3"/>
      <c r="K198" s="3"/>
    </row>
    <row r="199" spans="1:11" x14ac:dyDescent="0.25">
      <c r="A199" s="5"/>
      <c r="B199" s="2"/>
      <c r="C199" s="2"/>
      <c r="D199" s="3"/>
      <c r="E199" s="2"/>
      <c r="F199" s="2"/>
      <c r="G199" s="3"/>
      <c r="H199" s="3"/>
      <c r="I199" s="2"/>
      <c r="J199" s="3"/>
      <c r="K199" s="3"/>
    </row>
    <row r="202" spans="1:11" ht="15.75" x14ac:dyDescent="0.25">
      <c r="A202" s="456" t="s">
        <v>10</v>
      </c>
      <c r="B202" s="456"/>
      <c r="C202" s="456"/>
      <c r="D202" s="456"/>
      <c r="E202" s="456"/>
      <c r="F202" s="456"/>
      <c r="G202" s="456"/>
      <c r="H202" s="456"/>
      <c r="I202" s="456"/>
      <c r="J202" s="456"/>
      <c r="K202" s="456"/>
    </row>
    <row r="203" spans="1:11" ht="15.75" x14ac:dyDescent="0.25">
      <c r="A203" s="456" t="s">
        <v>11</v>
      </c>
      <c r="B203" s="456"/>
      <c r="C203" s="456"/>
      <c r="D203" s="456"/>
      <c r="E203" s="456"/>
      <c r="F203" s="456"/>
      <c r="G203" s="456"/>
      <c r="H203" s="456"/>
      <c r="I203" s="456"/>
      <c r="J203" s="456"/>
      <c r="K203" s="456"/>
    </row>
    <row r="204" spans="1:11" x14ac:dyDescent="0.25">
      <c r="A204" s="2" t="s">
        <v>8</v>
      </c>
      <c r="B204" s="465" t="s">
        <v>131</v>
      </c>
      <c r="C204" s="466"/>
      <c r="D204" s="466"/>
      <c r="E204" s="467"/>
      <c r="F204" s="9" t="s">
        <v>48</v>
      </c>
      <c r="G204" s="468" t="s">
        <v>49</v>
      </c>
      <c r="H204" s="469"/>
      <c r="I204" s="469"/>
      <c r="J204" s="469"/>
      <c r="K204" s="470"/>
    </row>
    <row r="205" spans="1:11" x14ac:dyDescent="0.25">
      <c r="A205" s="4" t="s">
        <v>9</v>
      </c>
      <c r="B205" s="471" t="s">
        <v>66</v>
      </c>
      <c r="C205" s="471"/>
      <c r="D205" s="471"/>
      <c r="E205" s="471"/>
      <c r="F205" s="11" t="s">
        <v>50</v>
      </c>
      <c r="G205" s="471" t="s">
        <v>126</v>
      </c>
      <c r="H205" s="471"/>
      <c r="I205" s="471"/>
      <c r="J205" s="471"/>
      <c r="K205" s="471"/>
    </row>
    <row r="206" spans="1:11" x14ac:dyDescent="0.25">
      <c r="A206" s="464" t="s">
        <v>0</v>
      </c>
      <c r="B206" s="464" t="s">
        <v>1</v>
      </c>
      <c r="C206" s="464" t="s">
        <v>2</v>
      </c>
      <c r="D206" s="464"/>
      <c r="E206" s="464"/>
      <c r="F206" s="464" t="s">
        <v>3</v>
      </c>
      <c r="G206" s="464"/>
      <c r="H206" s="464"/>
      <c r="I206" s="464" t="s">
        <v>4</v>
      </c>
      <c r="J206" s="464"/>
      <c r="K206" s="464"/>
    </row>
    <row r="207" spans="1:11" x14ac:dyDescent="0.25">
      <c r="A207" s="464"/>
      <c r="B207" s="464"/>
      <c r="C207" s="2" t="s">
        <v>5</v>
      </c>
      <c r="D207" s="3" t="s">
        <v>6</v>
      </c>
      <c r="E207" s="2" t="s">
        <v>7</v>
      </c>
      <c r="F207" s="2" t="s">
        <v>5</v>
      </c>
      <c r="G207" s="3" t="s">
        <v>6</v>
      </c>
      <c r="H207" s="2" t="s">
        <v>7</v>
      </c>
      <c r="I207" s="2" t="s">
        <v>5</v>
      </c>
      <c r="J207" s="3" t="s">
        <v>6</v>
      </c>
      <c r="K207" s="2" t="s">
        <v>7</v>
      </c>
    </row>
    <row r="208" spans="1:11" x14ac:dyDescent="0.25">
      <c r="A208" s="1"/>
      <c r="B208" s="1" t="s">
        <v>42</v>
      </c>
      <c r="C208" s="1"/>
      <c r="D208" s="34"/>
      <c r="E208" s="1"/>
      <c r="F208" s="1"/>
      <c r="G208" s="34"/>
      <c r="H208" s="1"/>
      <c r="I208" s="1">
        <v>0</v>
      </c>
      <c r="J208" s="34">
        <v>0</v>
      </c>
      <c r="K208" s="1">
        <v>0</v>
      </c>
    </row>
    <row r="209" spans="1:11" ht="15.75" x14ac:dyDescent="0.25">
      <c r="A209" s="7">
        <v>42009</v>
      </c>
      <c r="B209" s="8" t="s">
        <v>43</v>
      </c>
      <c r="C209" s="6">
        <v>100</v>
      </c>
      <c r="D209" s="27">
        <f>+E209/C209</f>
        <v>0.2</v>
      </c>
      <c r="E209" s="8">
        <v>20</v>
      </c>
      <c r="F209" s="8"/>
      <c r="G209" s="27"/>
      <c r="H209" s="8"/>
      <c r="I209" s="6">
        <f>+I208+C209</f>
        <v>100</v>
      </c>
      <c r="J209" s="27">
        <f>+K209/I209</f>
        <v>0.2</v>
      </c>
      <c r="K209" s="8">
        <f>+K208+E209</f>
        <v>20</v>
      </c>
    </row>
    <row r="210" spans="1:11" ht="30" x14ac:dyDescent="0.25">
      <c r="A210" s="307"/>
      <c r="B210" s="309" t="s">
        <v>569</v>
      </c>
      <c r="C210" s="222"/>
      <c r="D210" s="223"/>
      <c r="E210" s="222"/>
      <c r="F210" s="222">
        <v>1.5</v>
      </c>
      <c r="G210" s="223">
        <f>+J209</f>
        <v>0.2</v>
      </c>
      <c r="H210" s="223">
        <f>+G210*F210</f>
        <v>0.30000000000000004</v>
      </c>
      <c r="I210" s="222">
        <f>+I209-F210</f>
        <v>98.5</v>
      </c>
      <c r="J210" s="223">
        <f>+K210/I210</f>
        <v>0.19999999999999998</v>
      </c>
      <c r="K210" s="223">
        <f>+K209-H210</f>
        <v>19.7</v>
      </c>
    </row>
    <row r="211" spans="1:11" x14ac:dyDescent="0.25">
      <c r="A211" s="5"/>
      <c r="B211" s="2"/>
      <c r="C211" s="2"/>
      <c r="D211" s="3"/>
      <c r="E211" s="2"/>
      <c r="F211" s="2"/>
      <c r="G211" s="3"/>
      <c r="H211" s="2"/>
      <c r="I211" s="2"/>
      <c r="J211" s="3"/>
      <c r="K211" s="3"/>
    </row>
    <row r="212" spans="1:11" x14ac:dyDescent="0.25">
      <c r="A212" s="5"/>
      <c r="B212" s="2"/>
      <c r="C212" s="2"/>
      <c r="D212" s="3"/>
      <c r="E212" s="2"/>
      <c r="F212" s="2"/>
      <c r="G212" s="3"/>
      <c r="H212" s="3"/>
      <c r="I212" s="2"/>
      <c r="J212" s="3"/>
      <c r="K212" s="3"/>
    </row>
    <row r="216" spans="1:11" ht="15.75" x14ac:dyDescent="0.25">
      <c r="A216" s="456" t="s">
        <v>10</v>
      </c>
      <c r="B216" s="456"/>
      <c r="C216" s="456"/>
      <c r="D216" s="456"/>
      <c r="E216" s="456"/>
      <c r="F216" s="456"/>
      <c r="G216" s="456"/>
      <c r="H216" s="456"/>
      <c r="I216" s="456"/>
      <c r="J216" s="456"/>
      <c r="K216" s="456"/>
    </row>
    <row r="217" spans="1:11" ht="15.75" x14ac:dyDescent="0.25">
      <c r="A217" s="456" t="s">
        <v>11</v>
      </c>
      <c r="B217" s="456"/>
      <c r="C217" s="456"/>
      <c r="D217" s="456"/>
      <c r="E217" s="456"/>
      <c r="F217" s="456"/>
      <c r="G217" s="456"/>
      <c r="H217" s="456"/>
      <c r="I217" s="456"/>
      <c r="J217" s="456"/>
      <c r="K217" s="456"/>
    </row>
    <row r="218" spans="1:11" x14ac:dyDescent="0.25">
      <c r="A218" s="2" t="s">
        <v>8</v>
      </c>
      <c r="B218" s="465" t="s">
        <v>132</v>
      </c>
      <c r="C218" s="466"/>
      <c r="D218" s="466"/>
      <c r="E218" s="467"/>
      <c r="F218" s="9" t="s">
        <v>48</v>
      </c>
      <c r="G218" s="468" t="s">
        <v>49</v>
      </c>
      <c r="H218" s="469"/>
      <c r="I218" s="469"/>
      <c r="J218" s="469"/>
      <c r="K218" s="470"/>
    </row>
    <row r="219" spans="1:11" x14ac:dyDescent="0.25">
      <c r="A219" s="4" t="s">
        <v>9</v>
      </c>
      <c r="B219" s="471" t="s">
        <v>66</v>
      </c>
      <c r="C219" s="471"/>
      <c r="D219" s="471"/>
      <c r="E219" s="471"/>
      <c r="F219" s="11" t="s">
        <v>50</v>
      </c>
      <c r="G219" s="471" t="s">
        <v>123</v>
      </c>
      <c r="H219" s="471"/>
      <c r="I219" s="471"/>
      <c r="J219" s="471"/>
      <c r="K219" s="471"/>
    </row>
    <row r="220" spans="1:11" x14ac:dyDescent="0.25">
      <c r="A220" s="464" t="s">
        <v>0</v>
      </c>
      <c r="B220" s="464" t="s">
        <v>1</v>
      </c>
      <c r="C220" s="464" t="s">
        <v>2</v>
      </c>
      <c r="D220" s="464"/>
      <c r="E220" s="464"/>
      <c r="F220" s="464" t="s">
        <v>3</v>
      </c>
      <c r="G220" s="464"/>
      <c r="H220" s="464"/>
      <c r="I220" s="464" t="s">
        <v>4</v>
      </c>
      <c r="J220" s="464"/>
      <c r="K220" s="464"/>
    </row>
    <row r="221" spans="1:11" x14ac:dyDescent="0.25">
      <c r="A221" s="464"/>
      <c r="B221" s="464"/>
      <c r="C221" s="2" t="s">
        <v>5</v>
      </c>
      <c r="D221" s="3" t="s">
        <v>6</v>
      </c>
      <c r="E221" s="2" t="s">
        <v>7</v>
      </c>
      <c r="F221" s="2" t="s">
        <v>5</v>
      </c>
      <c r="G221" s="3" t="s">
        <v>6</v>
      </c>
      <c r="H221" s="2" t="s">
        <v>7</v>
      </c>
      <c r="I221" s="2" t="s">
        <v>5</v>
      </c>
      <c r="J221" s="3" t="s">
        <v>6</v>
      </c>
      <c r="K221" s="2" t="s">
        <v>7</v>
      </c>
    </row>
    <row r="222" spans="1:11" x14ac:dyDescent="0.25">
      <c r="A222" s="1"/>
      <c r="B222" s="1" t="s">
        <v>42</v>
      </c>
      <c r="C222" s="1"/>
      <c r="D222" s="34"/>
      <c r="E222" s="1"/>
      <c r="F222" s="1"/>
      <c r="G222" s="34"/>
      <c r="H222" s="1"/>
      <c r="I222" s="1">
        <v>0</v>
      </c>
      <c r="J222" s="34">
        <v>0</v>
      </c>
      <c r="K222" s="1">
        <v>0</v>
      </c>
    </row>
    <row r="223" spans="1:11" ht="15.75" x14ac:dyDescent="0.25">
      <c r="A223" s="7">
        <v>42009</v>
      </c>
      <c r="B223" s="8" t="s">
        <v>43</v>
      </c>
      <c r="C223" s="6">
        <v>100</v>
      </c>
      <c r="D223" s="27">
        <f>+E223/C223</f>
        <v>0.24719999999999998</v>
      </c>
      <c r="E223" s="8">
        <v>24.72</v>
      </c>
      <c r="F223" s="8"/>
      <c r="G223" s="27"/>
      <c r="H223" s="8"/>
      <c r="I223" s="6">
        <f>+I222+C223</f>
        <v>100</v>
      </c>
      <c r="J223" s="27">
        <f>+K223/I223</f>
        <v>0.24719999999999998</v>
      </c>
      <c r="K223" s="8">
        <f>+K222+E223</f>
        <v>24.72</v>
      </c>
    </row>
    <row r="224" spans="1:11" ht="30" x14ac:dyDescent="0.25">
      <c r="A224" s="307"/>
      <c r="B224" s="309" t="s">
        <v>569</v>
      </c>
      <c r="C224" s="222"/>
      <c r="D224" s="223"/>
      <c r="E224" s="222"/>
      <c r="F224" s="222">
        <v>1.5</v>
      </c>
      <c r="G224" s="223">
        <f>+J223</f>
        <v>0.24719999999999998</v>
      </c>
      <c r="H224" s="223">
        <f>+G224*F224</f>
        <v>0.37079999999999996</v>
      </c>
      <c r="I224" s="222">
        <f>+I223-F224</f>
        <v>98.5</v>
      </c>
      <c r="J224" s="223">
        <f>+K224/I224</f>
        <v>0.2472</v>
      </c>
      <c r="K224" s="223">
        <f>+K223-H224</f>
        <v>24.3492</v>
      </c>
    </row>
    <row r="225" spans="1:11" x14ac:dyDescent="0.25">
      <c r="A225" s="5"/>
      <c r="B225" s="2"/>
      <c r="C225" s="2"/>
      <c r="D225" s="3"/>
      <c r="E225" s="2"/>
      <c r="F225" s="2"/>
      <c r="G225" s="3"/>
      <c r="H225" s="2"/>
      <c r="I225" s="2"/>
      <c r="J225" s="3"/>
      <c r="K225" s="3"/>
    </row>
    <row r="226" spans="1:11" x14ac:dyDescent="0.25">
      <c r="A226" s="5"/>
      <c r="B226" s="2"/>
      <c r="C226" s="2"/>
      <c r="D226" s="3"/>
      <c r="E226" s="2"/>
      <c r="F226" s="2"/>
      <c r="G226" s="3"/>
      <c r="H226" s="3"/>
      <c r="I226" s="2"/>
      <c r="J226" s="3"/>
      <c r="K226" s="3"/>
    </row>
    <row r="229" spans="1:11" ht="15.75" x14ac:dyDescent="0.25">
      <c r="A229" s="456" t="s">
        <v>10</v>
      </c>
      <c r="B229" s="456"/>
      <c r="C229" s="456"/>
      <c r="D229" s="456"/>
      <c r="E229" s="456"/>
      <c r="F229" s="456"/>
      <c r="G229" s="456"/>
      <c r="H229" s="456"/>
      <c r="I229" s="456"/>
      <c r="J229" s="456"/>
      <c r="K229" s="456"/>
    </row>
    <row r="230" spans="1:11" ht="15.75" x14ac:dyDescent="0.25">
      <c r="A230" s="456" t="s">
        <v>11</v>
      </c>
      <c r="B230" s="456"/>
      <c r="C230" s="456"/>
      <c r="D230" s="456"/>
      <c r="E230" s="456"/>
      <c r="F230" s="456"/>
      <c r="G230" s="456"/>
      <c r="H230" s="456"/>
      <c r="I230" s="456"/>
      <c r="J230" s="456"/>
      <c r="K230" s="456"/>
    </row>
    <row r="231" spans="1:11" x14ac:dyDescent="0.25">
      <c r="A231" s="2" t="s">
        <v>8</v>
      </c>
      <c r="B231" s="465" t="s">
        <v>133</v>
      </c>
      <c r="C231" s="466"/>
      <c r="D231" s="466"/>
      <c r="E231" s="467"/>
      <c r="F231" s="9" t="s">
        <v>48</v>
      </c>
      <c r="G231" s="468" t="s">
        <v>49</v>
      </c>
      <c r="H231" s="469"/>
      <c r="I231" s="469"/>
      <c r="J231" s="469"/>
      <c r="K231" s="470"/>
    </row>
    <row r="232" spans="1:11" x14ac:dyDescent="0.25">
      <c r="A232" s="4" t="s">
        <v>9</v>
      </c>
      <c r="B232" s="471" t="s">
        <v>134</v>
      </c>
      <c r="C232" s="471"/>
      <c r="D232" s="471"/>
      <c r="E232" s="471"/>
      <c r="F232" s="11" t="s">
        <v>50</v>
      </c>
      <c r="G232" s="471" t="s">
        <v>82</v>
      </c>
      <c r="H232" s="471"/>
      <c r="I232" s="471"/>
      <c r="J232" s="471"/>
      <c r="K232" s="471"/>
    </row>
    <row r="233" spans="1:11" x14ac:dyDescent="0.25">
      <c r="A233" s="464" t="s">
        <v>0</v>
      </c>
      <c r="B233" s="464" t="s">
        <v>1</v>
      </c>
      <c r="C233" s="464" t="s">
        <v>2</v>
      </c>
      <c r="D233" s="464"/>
      <c r="E233" s="464"/>
      <c r="F233" s="464" t="s">
        <v>3</v>
      </c>
      <c r="G233" s="464"/>
      <c r="H233" s="464"/>
      <c r="I233" s="464" t="s">
        <v>4</v>
      </c>
      <c r="J233" s="464"/>
      <c r="K233" s="464"/>
    </row>
    <row r="234" spans="1:11" x14ac:dyDescent="0.25">
      <c r="A234" s="464"/>
      <c r="B234" s="464"/>
      <c r="C234" s="2" t="s">
        <v>5</v>
      </c>
      <c r="D234" s="3" t="s">
        <v>6</v>
      </c>
      <c r="E234" s="2" t="s">
        <v>7</v>
      </c>
      <c r="F234" s="2" t="s">
        <v>5</v>
      </c>
      <c r="G234" s="3" t="s">
        <v>6</v>
      </c>
      <c r="H234" s="2" t="s">
        <v>7</v>
      </c>
      <c r="I234" s="2" t="s">
        <v>5</v>
      </c>
      <c r="J234" s="3" t="s">
        <v>6</v>
      </c>
      <c r="K234" s="2" t="s">
        <v>7</v>
      </c>
    </row>
    <row r="235" spans="1:11" x14ac:dyDescent="0.25">
      <c r="A235" s="1"/>
      <c r="B235" s="1" t="s">
        <v>42</v>
      </c>
      <c r="C235" s="1"/>
      <c r="D235" s="34"/>
      <c r="E235" s="1"/>
      <c r="F235" s="1"/>
      <c r="G235" s="34"/>
      <c r="H235" s="1"/>
      <c r="I235" s="1">
        <v>0</v>
      </c>
      <c r="J235" s="34">
        <v>0</v>
      </c>
      <c r="K235" s="1">
        <v>0</v>
      </c>
    </row>
    <row r="236" spans="1:11" ht="15.75" x14ac:dyDescent="0.25">
      <c r="A236" s="7">
        <v>42009</v>
      </c>
      <c r="B236" s="8" t="s">
        <v>43</v>
      </c>
      <c r="C236" s="6">
        <v>100</v>
      </c>
      <c r="D236" s="27">
        <f>+E236/C236</f>
        <v>1.02</v>
      </c>
      <c r="E236" s="8">
        <v>102</v>
      </c>
      <c r="F236" s="8"/>
      <c r="G236" s="27"/>
      <c r="H236" s="8"/>
      <c r="I236" s="6">
        <f>+I235+C236</f>
        <v>100</v>
      </c>
      <c r="J236" s="27">
        <f>+K236/I236</f>
        <v>1.02</v>
      </c>
      <c r="K236" s="8">
        <f>+K235+E236</f>
        <v>102</v>
      </c>
    </row>
    <row r="237" spans="1:11" ht="30" x14ac:dyDescent="0.25">
      <c r="A237" s="307"/>
      <c r="B237" s="309" t="s">
        <v>555</v>
      </c>
      <c r="C237" s="222"/>
      <c r="D237" s="223"/>
      <c r="E237" s="222"/>
      <c r="F237" s="222">
        <v>1</v>
      </c>
      <c r="G237" s="223">
        <f>+J236</f>
        <v>1.02</v>
      </c>
      <c r="H237" s="223">
        <f>+G237*F237</f>
        <v>1.02</v>
      </c>
      <c r="I237" s="222">
        <f>+I236-F237</f>
        <v>99</v>
      </c>
      <c r="J237" s="342">
        <f>+K237/I237</f>
        <v>1.02</v>
      </c>
      <c r="K237" s="223">
        <f>+K236-H237</f>
        <v>100.98</v>
      </c>
    </row>
    <row r="238" spans="1:11" x14ac:dyDescent="0.25">
      <c r="A238" s="5"/>
      <c r="B238" s="2"/>
      <c r="C238" s="2"/>
      <c r="D238" s="3"/>
      <c r="E238" s="2"/>
      <c r="F238" s="2"/>
      <c r="G238" s="3"/>
      <c r="H238" s="2"/>
      <c r="I238" s="2"/>
      <c r="J238" s="3"/>
      <c r="K238" s="3"/>
    </row>
    <row r="239" spans="1:11" x14ac:dyDescent="0.25">
      <c r="A239" s="5"/>
      <c r="B239" s="2"/>
      <c r="C239" s="2"/>
      <c r="D239" s="3"/>
      <c r="E239" s="2"/>
      <c r="F239" s="2"/>
      <c r="G239" s="3"/>
      <c r="H239" s="3"/>
      <c r="I239" s="2"/>
      <c r="J239" s="3"/>
      <c r="K239" s="3"/>
    </row>
    <row r="240" spans="1:11" x14ac:dyDescent="0.25">
      <c r="A240" s="28"/>
      <c r="B240" s="29"/>
      <c r="C240" s="29"/>
      <c r="D240" s="30"/>
      <c r="E240" s="29"/>
      <c r="F240" s="29"/>
      <c r="G240" s="30"/>
      <c r="H240" s="30"/>
      <c r="I240" s="29"/>
      <c r="J240" s="30"/>
      <c r="K240" s="30"/>
    </row>
    <row r="241" spans="1:11" x14ac:dyDescent="0.25">
      <c r="A241" s="28"/>
      <c r="B241" s="29"/>
      <c r="C241" s="29"/>
      <c r="D241" s="30"/>
      <c r="E241" s="29"/>
      <c r="F241" s="29"/>
      <c r="G241" s="30"/>
      <c r="H241" s="30"/>
      <c r="I241" s="29"/>
      <c r="J241" s="30"/>
      <c r="K241" s="30"/>
    </row>
    <row r="243" spans="1:11" ht="15.75" x14ac:dyDescent="0.25">
      <c r="A243" s="456" t="s">
        <v>10</v>
      </c>
      <c r="B243" s="456"/>
      <c r="C243" s="456"/>
      <c r="D243" s="456"/>
      <c r="E243" s="456"/>
      <c r="F243" s="456"/>
      <c r="G243" s="456"/>
      <c r="H243" s="456"/>
      <c r="I243" s="456"/>
      <c r="J243" s="456"/>
      <c r="K243" s="456"/>
    </row>
    <row r="244" spans="1:11" ht="15.75" x14ac:dyDescent="0.25">
      <c r="A244" s="456" t="s">
        <v>11</v>
      </c>
      <c r="B244" s="456"/>
      <c r="C244" s="456"/>
      <c r="D244" s="456"/>
      <c r="E244" s="456"/>
      <c r="F244" s="456"/>
      <c r="G244" s="456"/>
      <c r="H244" s="456"/>
      <c r="I244" s="456"/>
      <c r="J244" s="456"/>
      <c r="K244" s="456"/>
    </row>
    <row r="245" spans="1:11" x14ac:dyDescent="0.25">
      <c r="A245" s="2" t="s">
        <v>8</v>
      </c>
      <c r="B245" s="465" t="s">
        <v>135</v>
      </c>
      <c r="C245" s="466"/>
      <c r="D245" s="466"/>
      <c r="E245" s="467"/>
      <c r="F245" s="9" t="s">
        <v>48</v>
      </c>
      <c r="G245" s="468" t="s">
        <v>49</v>
      </c>
      <c r="H245" s="469"/>
      <c r="I245" s="469"/>
      <c r="J245" s="469"/>
      <c r="K245" s="470"/>
    </row>
    <row r="246" spans="1:11" x14ac:dyDescent="0.25">
      <c r="A246" s="4" t="s">
        <v>9</v>
      </c>
      <c r="B246" s="471" t="s">
        <v>134</v>
      </c>
      <c r="C246" s="471"/>
      <c r="D246" s="471"/>
      <c r="E246" s="471"/>
      <c r="F246" s="11" t="s">
        <v>50</v>
      </c>
      <c r="G246" s="471" t="s">
        <v>137</v>
      </c>
      <c r="H246" s="471"/>
      <c r="I246" s="471"/>
      <c r="J246" s="471"/>
      <c r="K246" s="471"/>
    </row>
    <row r="247" spans="1:11" x14ac:dyDescent="0.25">
      <c r="A247" s="464" t="s">
        <v>0</v>
      </c>
      <c r="B247" s="464" t="s">
        <v>1</v>
      </c>
      <c r="C247" s="464" t="s">
        <v>2</v>
      </c>
      <c r="D247" s="464"/>
      <c r="E247" s="464"/>
      <c r="F247" s="464" t="s">
        <v>3</v>
      </c>
      <c r="G247" s="464"/>
      <c r="H247" s="464"/>
      <c r="I247" s="464" t="s">
        <v>4</v>
      </c>
      <c r="J247" s="464"/>
      <c r="K247" s="464"/>
    </row>
    <row r="248" spans="1:11" x14ac:dyDescent="0.25">
      <c r="A248" s="464"/>
      <c r="B248" s="464"/>
      <c r="C248" s="2" t="s">
        <v>5</v>
      </c>
      <c r="D248" s="3" t="s">
        <v>6</v>
      </c>
      <c r="E248" s="2" t="s">
        <v>7</v>
      </c>
      <c r="F248" s="2" t="s">
        <v>5</v>
      </c>
      <c r="G248" s="3" t="s">
        <v>6</v>
      </c>
      <c r="H248" s="2" t="s">
        <v>7</v>
      </c>
      <c r="I248" s="2" t="s">
        <v>5</v>
      </c>
      <c r="J248" s="3" t="s">
        <v>6</v>
      </c>
      <c r="K248" s="2" t="s">
        <v>7</v>
      </c>
    </row>
    <row r="249" spans="1:11" x14ac:dyDescent="0.25">
      <c r="A249" s="1"/>
      <c r="B249" s="1" t="s">
        <v>42</v>
      </c>
      <c r="C249" s="1"/>
      <c r="D249" s="34"/>
      <c r="E249" s="1"/>
      <c r="F249" s="1"/>
      <c r="G249" s="34"/>
      <c r="H249" s="1"/>
      <c r="I249" s="1">
        <v>0</v>
      </c>
      <c r="J249" s="34">
        <v>0</v>
      </c>
      <c r="K249" s="1">
        <v>0</v>
      </c>
    </row>
    <row r="250" spans="1:11" ht="15.75" x14ac:dyDescent="0.25">
      <c r="A250" s="7">
        <v>42009</v>
      </c>
      <c r="B250" s="8" t="s">
        <v>43</v>
      </c>
      <c r="C250" s="6">
        <v>120</v>
      </c>
      <c r="D250" s="27">
        <f>+E250/C250</f>
        <v>0.2</v>
      </c>
      <c r="E250" s="8">
        <v>24</v>
      </c>
      <c r="F250" s="8"/>
      <c r="G250" s="27"/>
      <c r="H250" s="8"/>
      <c r="I250" s="6">
        <f>+I249+C250</f>
        <v>120</v>
      </c>
      <c r="J250" s="27">
        <f>+K250/I250</f>
        <v>0.2</v>
      </c>
      <c r="K250" s="8">
        <f>+K249+E250</f>
        <v>24</v>
      </c>
    </row>
    <row r="251" spans="1:11" ht="30" x14ac:dyDescent="0.25">
      <c r="A251" s="307"/>
      <c r="B251" s="309" t="s">
        <v>522</v>
      </c>
      <c r="C251" s="222"/>
      <c r="D251" s="223"/>
      <c r="E251" s="222"/>
      <c r="F251" s="222">
        <v>2</v>
      </c>
      <c r="G251" s="223">
        <f>+J250</f>
        <v>0.2</v>
      </c>
      <c r="H251" s="222">
        <f>+G251*F251</f>
        <v>0.4</v>
      </c>
      <c r="I251" s="222">
        <f>+I250-F251</f>
        <v>118</v>
      </c>
      <c r="J251" s="223">
        <f>+K251/I251</f>
        <v>0.2</v>
      </c>
      <c r="K251" s="223">
        <f>+K250-H251</f>
        <v>23.6</v>
      </c>
    </row>
    <row r="252" spans="1:11" x14ac:dyDescent="0.25">
      <c r="A252" s="5"/>
      <c r="B252" s="2"/>
      <c r="C252" s="2"/>
      <c r="D252" s="3"/>
      <c r="E252" s="2"/>
      <c r="F252" s="2"/>
      <c r="G252" s="3"/>
      <c r="H252" s="2"/>
      <c r="I252" s="2"/>
      <c r="J252" s="3"/>
      <c r="K252" s="3"/>
    </row>
    <row r="253" spans="1:11" x14ac:dyDescent="0.25">
      <c r="A253" s="5"/>
      <c r="B253" s="2"/>
      <c r="C253" s="2"/>
      <c r="D253" s="3"/>
      <c r="E253" s="2"/>
      <c r="F253" s="2"/>
      <c r="G253" s="3"/>
      <c r="H253" s="3"/>
      <c r="I253" s="2"/>
      <c r="J253" s="3"/>
      <c r="K253" s="3"/>
    </row>
    <row r="255" spans="1:11" ht="15.75" x14ac:dyDescent="0.25">
      <c r="A255" s="456" t="s">
        <v>10</v>
      </c>
      <c r="B255" s="456"/>
      <c r="C255" s="456"/>
      <c r="D255" s="456"/>
      <c r="E255" s="456"/>
      <c r="F255" s="456"/>
      <c r="G255" s="456"/>
      <c r="H255" s="456"/>
      <c r="I255" s="456"/>
      <c r="J255" s="456"/>
      <c r="K255" s="456"/>
    </row>
    <row r="256" spans="1:11" ht="15.75" x14ac:dyDescent="0.25">
      <c r="A256" s="456" t="s">
        <v>11</v>
      </c>
      <c r="B256" s="456"/>
      <c r="C256" s="456"/>
      <c r="D256" s="456"/>
      <c r="E256" s="456"/>
      <c r="F256" s="456"/>
      <c r="G256" s="456"/>
      <c r="H256" s="456"/>
      <c r="I256" s="456"/>
      <c r="J256" s="456"/>
      <c r="K256" s="456"/>
    </row>
    <row r="257" spans="1:11" x14ac:dyDescent="0.25">
      <c r="A257" s="2" t="s">
        <v>8</v>
      </c>
      <c r="B257" s="465" t="s">
        <v>136</v>
      </c>
      <c r="C257" s="466"/>
      <c r="D257" s="466"/>
      <c r="E257" s="467"/>
      <c r="F257" s="9" t="s">
        <v>48</v>
      </c>
      <c r="G257" s="468" t="s">
        <v>49</v>
      </c>
      <c r="H257" s="469"/>
      <c r="I257" s="469"/>
      <c r="J257" s="469"/>
      <c r="K257" s="470"/>
    </row>
    <row r="258" spans="1:11" x14ac:dyDescent="0.25">
      <c r="A258" s="4" t="s">
        <v>9</v>
      </c>
      <c r="B258" s="471" t="s">
        <v>72</v>
      </c>
      <c r="C258" s="471"/>
      <c r="D258" s="471"/>
      <c r="E258" s="471"/>
      <c r="F258" s="11" t="s">
        <v>50</v>
      </c>
      <c r="G258" s="471" t="s">
        <v>121</v>
      </c>
      <c r="H258" s="471"/>
      <c r="I258" s="471"/>
      <c r="J258" s="471"/>
      <c r="K258" s="471"/>
    </row>
    <row r="259" spans="1:11" x14ac:dyDescent="0.25">
      <c r="A259" s="464" t="s">
        <v>0</v>
      </c>
      <c r="B259" s="464" t="s">
        <v>1</v>
      </c>
      <c r="C259" s="464" t="s">
        <v>2</v>
      </c>
      <c r="D259" s="464"/>
      <c r="E259" s="464"/>
      <c r="F259" s="464" t="s">
        <v>3</v>
      </c>
      <c r="G259" s="464"/>
      <c r="H259" s="464"/>
      <c r="I259" s="464" t="s">
        <v>4</v>
      </c>
      <c r="J259" s="464"/>
      <c r="K259" s="464"/>
    </row>
    <row r="260" spans="1:11" x14ac:dyDescent="0.25">
      <c r="A260" s="464"/>
      <c r="B260" s="464"/>
      <c r="C260" s="2" t="s">
        <v>5</v>
      </c>
      <c r="D260" s="3" t="s">
        <v>6</v>
      </c>
      <c r="E260" s="2" t="s">
        <v>7</v>
      </c>
      <c r="F260" s="2" t="s">
        <v>5</v>
      </c>
      <c r="G260" s="3" t="s">
        <v>6</v>
      </c>
      <c r="H260" s="2" t="s">
        <v>7</v>
      </c>
      <c r="I260" s="2" t="s">
        <v>5</v>
      </c>
      <c r="J260" s="3" t="s">
        <v>6</v>
      </c>
      <c r="K260" s="2" t="s">
        <v>7</v>
      </c>
    </row>
    <row r="261" spans="1:11" x14ac:dyDescent="0.25">
      <c r="A261" s="1"/>
      <c r="B261" s="1" t="s">
        <v>42</v>
      </c>
      <c r="C261" s="1"/>
      <c r="D261" s="34"/>
      <c r="E261" s="1"/>
      <c r="F261" s="1"/>
      <c r="G261" s="34"/>
      <c r="H261" s="1"/>
      <c r="I261" s="1">
        <v>0</v>
      </c>
      <c r="J261" s="34">
        <v>0</v>
      </c>
      <c r="K261" s="1">
        <v>0</v>
      </c>
    </row>
    <row r="262" spans="1:11" ht="15.75" x14ac:dyDescent="0.25">
      <c r="A262" s="7">
        <v>42009</v>
      </c>
      <c r="B262" s="8" t="s">
        <v>43</v>
      </c>
      <c r="C262" s="6">
        <v>2000</v>
      </c>
      <c r="D262" s="27">
        <f>+E262/C262</f>
        <v>4.4999999999999998E-2</v>
      </c>
      <c r="E262" s="8">
        <v>90</v>
      </c>
      <c r="F262" s="8"/>
      <c r="G262" s="27"/>
      <c r="H262" s="8"/>
      <c r="I262" s="6">
        <f>+I261+C262</f>
        <v>2000</v>
      </c>
      <c r="J262" s="27">
        <f>+K262/I262</f>
        <v>4.4999999999999998E-2</v>
      </c>
      <c r="K262" s="8">
        <f>+K261+E262</f>
        <v>90</v>
      </c>
    </row>
    <row r="263" spans="1:11" ht="15.75" x14ac:dyDescent="0.25">
      <c r="A263" s="106">
        <v>42289</v>
      </c>
      <c r="B263" s="107" t="s">
        <v>334</v>
      </c>
      <c r="C263" s="107"/>
      <c r="D263" s="107"/>
      <c r="E263" s="107"/>
      <c r="F263" s="107">
        <v>1</v>
      </c>
      <c r="G263" s="108">
        <f>+J262</f>
        <v>4.4999999999999998E-2</v>
      </c>
      <c r="H263" s="108">
        <f>+G263*F263</f>
        <v>4.4999999999999998E-2</v>
      </c>
      <c r="I263" s="107">
        <f>+I262-F263</f>
        <v>1999</v>
      </c>
      <c r="J263" s="108">
        <f>+K263/I263</f>
        <v>4.4999999999999998E-2</v>
      </c>
      <c r="K263" s="108">
        <f>+K262-H263</f>
        <v>89.954999999999998</v>
      </c>
    </row>
    <row r="264" spans="1:11" ht="15.75" x14ac:dyDescent="0.25">
      <c r="A264" s="122">
        <v>42293</v>
      </c>
      <c r="B264" s="107" t="s">
        <v>354</v>
      </c>
      <c r="C264" s="68"/>
      <c r="D264" s="69"/>
      <c r="E264" s="68"/>
      <c r="F264" s="68">
        <v>1</v>
      </c>
      <c r="G264" s="69">
        <f>+J263</f>
        <v>4.4999999999999998E-2</v>
      </c>
      <c r="H264" s="69">
        <f>+G264*F264</f>
        <v>4.4999999999999998E-2</v>
      </c>
      <c r="I264" s="68">
        <f>+I263-F264</f>
        <v>1998</v>
      </c>
      <c r="J264" s="69">
        <f>+K264/I264</f>
        <v>4.4999999999999998E-2</v>
      </c>
      <c r="K264" s="69">
        <f>+K263-H264</f>
        <v>89.91</v>
      </c>
    </row>
    <row r="265" spans="1:11" ht="15.75" x14ac:dyDescent="0.25">
      <c r="A265" s="122">
        <v>42300</v>
      </c>
      <c r="B265" s="107" t="s">
        <v>380</v>
      </c>
      <c r="C265" s="68"/>
      <c r="D265" s="69"/>
      <c r="E265" s="68"/>
      <c r="F265" s="68">
        <v>1</v>
      </c>
      <c r="G265" s="69">
        <f>+J264</f>
        <v>4.4999999999999998E-2</v>
      </c>
      <c r="H265" s="69">
        <f>+G265*F265</f>
        <v>4.4999999999999998E-2</v>
      </c>
      <c r="I265" s="68">
        <f>+I264-F265</f>
        <v>1997</v>
      </c>
      <c r="J265" s="69">
        <f>+K265/I265</f>
        <v>4.4999999999999998E-2</v>
      </c>
      <c r="K265" s="69">
        <f>+K264-H265</f>
        <v>89.864999999999995</v>
      </c>
    </row>
    <row r="266" spans="1:11" x14ac:dyDescent="0.25">
      <c r="A266" s="5"/>
      <c r="B266" s="2"/>
      <c r="C266" s="2"/>
      <c r="D266" s="3"/>
      <c r="E266" s="2"/>
      <c r="F266" s="2"/>
      <c r="G266" s="3"/>
      <c r="H266" s="3"/>
      <c r="I266" s="2"/>
      <c r="J266" s="3"/>
      <c r="K266" s="3"/>
    </row>
    <row r="269" spans="1:11" ht="15.75" x14ac:dyDescent="0.25">
      <c r="A269" s="456" t="s">
        <v>10</v>
      </c>
      <c r="B269" s="456"/>
      <c r="C269" s="456"/>
      <c r="D269" s="456"/>
      <c r="E269" s="456"/>
      <c r="F269" s="456"/>
      <c r="G269" s="456"/>
      <c r="H269" s="456"/>
      <c r="I269" s="456"/>
      <c r="J269" s="456"/>
      <c r="K269" s="456"/>
    </row>
    <row r="270" spans="1:11" ht="15.75" x14ac:dyDescent="0.25">
      <c r="A270" s="456" t="s">
        <v>11</v>
      </c>
      <c r="B270" s="456"/>
      <c r="C270" s="456"/>
      <c r="D270" s="456"/>
      <c r="E270" s="456"/>
      <c r="F270" s="456"/>
      <c r="G270" s="456"/>
      <c r="H270" s="456"/>
      <c r="I270" s="456"/>
      <c r="J270" s="456"/>
      <c r="K270" s="456"/>
    </row>
    <row r="271" spans="1:11" x14ac:dyDescent="0.25">
      <c r="A271" s="2" t="s">
        <v>8</v>
      </c>
      <c r="B271" s="465" t="s">
        <v>138</v>
      </c>
      <c r="C271" s="466"/>
      <c r="D271" s="466"/>
      <c r="E271" s="467"/>
      <c r="F271" s="9" t="s">
        <v>48</v>
      </c>
      <c r="G271" s="468" t="s">
        <v>49</v>
      </c>
      <c r="H271" s="469"/>
      <c r="I271" s="469"/>
      <c r="J271" s="469"/>
      <c r="K271" s="470"/>
    </row>
    <row r="272" spans="1:11" x14ac:dyDescent="0.25">
      <c r="A272" s="4" t="s">
        <v>9</v>
      </c>
      <c r="B272" s="471" t="s">
        <v>72</v>
      </c>
      <c r="C272" s="471"/>
      <c r="D272" s="471"/>
      <c r="E272" s="471"/>
      <c r="F272" s="11" t="s">
        <v>50</v>
      </c>
      <c r="G272" s="471" t="s">
        <v>73</v>
      </c>
      <c r="H272" s="471"/>
      <c r="I272" s="471"/>
      <c r="J272" s="471"/>
      <c r="K272" s="471"/>
    </row>
    <row r="273" spans="1:11" x14ac:dyDescent="0.25">
      <c r="A273" s="464" t="s">
        <v>0</v>
      </c>
      <c r="B273" s="464" t="s">
        <v>1</v>
      </c>
      <c r="C273" s="464" t="s">
        <v>2</v>
      </c>
      <c r="D273" s="464"/>
      <c r="E273" s="464"/>
      <c r="F273" s="464" t="s">
        <v>3</v>
      </c>
      <c r="G273" s="464"/>
      <c r="H273" s="464"/>
      <c r="I273" s="464" t="s">
        <v>4</v>
      </c>
      <c r="J273" s="464"/>
      <c r="K273" s="464"/>
    </row>
    <row r="274" spans="1:11" x14ac:dyDescent="0.25">
      <c r="A274" s="464"/>
      <c r="B274" s="464"/>
      <c r="C274" s="2" t="s">
        <v>5</v>
      </c>
      <c r="D274" s="3" t="s">
        <v>6</v>
      </c>
      <c r="E274" s="2" t="s">
        <v>7</v>
      </c>
      <c r="F274" s="2" t="s">
        <v>5</v>
      </c>
      <c r="G274" s="3" t="s">
        <v>6</v>
      </c>
      <c r="H274" s="2" t="s">
        <v>7</v>
      </c>
      <c r="I274" s="2" t="s">
        <v>5</v>
      </c>
      <c r="J274" s="3" t="s">
        <v>6</v>
      </c>
      <c r="K274" s="2" t="s">
        <v>7</v>
      </c>
    </row>
    <row r="275" spans="1:11" x14ac:dyDescent="0.25">
      <c r="A275" s="1"/>
      <c r="B275" s="1" t="s">
        <v>42</v>
      </c>
      <c r="C275" s="1"/>
      <c r="D275" s="34"/>
      <c r="E275" s="1"/>
      <c r="F275" s="1"/>
      <c r="G275" s="34"/>
      <c r="H275" s="1"/>
      <c r="I275" s="1">
        <v>0</v>
      </c>
      <c r="J275" s="34">
        <v>0</v>
      </c>
      <c r="K275" s="1">
        <v>0</v>
      </c>
    </row>
    <row r="276" spans="1:11" ht="15.75" x14ac:dyDescent="0.25">
      <c r="A276" s="7">
        <v>42009</v>
      </c>
      <c r="B276" s="8" t="s">
        <v>43</v>
      </c>
      <c r="C276" s="6">
        <v>2000</v>
      </c>
      <c r="D276" s="27">
        <f>+E276/C276</f>
        <v>6.2E-2</v>
      </c>
      <c r="E276" s="8">
        <v>124</v>
      </c>
      <c r="F276" s="8"/>
      <c r="G276" s="27"/>
      <c r="H276" s="8"/>
      <c r="I276" s="6">
        <f>+I275+C276</f>
        <v>2000</v>
      </c>
      <c r="J276" s="27">
        <f>+K276/I276</f>
        <v>6.2E-2</v>
      </c>
      <c r="K276" s="8">
        <f>+K275+E276</f>
        <v>124</v>
      </c>
    </row>
    <row r="277" spans="1:11" ht="15.75" x14ac:dyDescent="0.25">
      <c r="A277" s="106">
        <v>42289</v>
      </c>
      <c r="B277" s="107" t="s">
        <v>334</v>
      </c>
      <c r="C277" s="107"/>
      <c r="D277" s="107"/>
      <c r="E277" s="107"/>
      <c r="F277" s="107">
        <v>1</v>
      </c>
      <c r="G277" s="108">
        <f>+J276</f>
        <v>6.2E-2</v>
      </c>
      <c r="H277" s="108">
        <f>+G277*F277</f>
        <v>6.2E-2</v>
      </c>
      <c r="I277" s="107">
        <f>+I276-F277</f>
        <v>1999</v>
      </c>
      <c r="J277" s="108">
        <f>+K277/I277</f>
        <v>6.2E-2</v>
      </c>
      <c r="K277" s="65">
        <f>+K276-H277</f>
        <v>123.938</v>
      </c>
    </row>
    <row r="278" spans="1:11" ht="15.75" x14ac:dyDescent="0.25">
      <c r="A278" s="122">
        <v>42293</v>
      </c>
      <c r="B278" s="107" t="s">
        <v>354</v>
      </c>
      <c r="C278" s="68"/>
      <c r="D278" s="69"/>
      <c r="E278" s="68"/>
      <c r="F278" s="68">
        <v>1</v>
      </c>
      <c r="G278" s="69">
        <f>+J277</f>
        <v>6.2E-2</v>
      </c>
      <c r="H278" s="69">
        <f>+G278*F278</f>
        <v>6.2E-2</v>
      </c>
      <c r="I278" s="68">
        <f>+I277-F278</f>
        <v>1998</v>
      </c>
      <c r="J278" s="69">
        <f>+K278/I278</f>
        <v>6.2E-2</v>
      </c>
      <c r="K278" s="69">
        <f>+K277-H278</f>
        <v>123.876</v>
      </c>
    </row>
    <row r="279" spans="1:11" ht="15.75" x14ac:dyDescent="0.25">
      <c r="A279" s="122">
        <v>42300</v>
      </c>
      <c r="B279" s="107" t="s">
        <v>380</v>
      </c>
      <c r="C279" s="68"/>
      <c r="D279" s="69"/>
      <c r="E279" s="68"/>
      <c r="F279" s="68">
        <v>1</v>
      </c>
      <c r="G279" s="69">
        <f>+J278</f>
        <v>6.2E-2</v>
      </c>
      <c r="H279" s="69">
        <f>+G279*F279</f>
        <v>6.2E-2</v>
      </c>
      <c r="I279" s="68">
        <f>+I278-F279</f>
        <v>1997</v>
      </c>
      <c r="J279" s="69">
        <f>+K279/I279</f>
        <v>6.2000000000000006E-2</v>
      </c>
      <c r="K279" s="69">
        <f>+K278-H279</f>
        <v>123.81400000000001</v>
      </c>
    </row>
    <row r="280" spans="1:11" x14ac:dyDescent="0.25">
      <c r="A280" s="5"/>
      <c r="B280" s="2"/>
      <c r="C280" s="2"/>
      <c r="D280" s="3"/>
      <c r="E280" s="2"/>
      <c r="F280" s="2"/>
      <c r="G280" s="3"/>
      <c r="H280" s="3"/>
      <c r="I280" s="2"/>
      <c r="J280" s="3"/>
      <c r="K280" s="3"/>
    </row>
    <row r="281" spans="1:11" x14ac:dyDescent="0.25">
      <c r="A281" s="28"/>
      <c r="B281" s="29"/>
      <c r="C281" s="29"/>
      <c r="D281" s="30"/>
      <c r="E281" s="29"/>
      <c r="F281" s="29"/>
      <c r="G281" s="30"/>
      <c r="H281" s="30"/>
      <c r="I281" s="29"/>
      <c r="J281" s="30"/>
      <c r="K281" s="30"/>
    </row>
    <row r="282" spans="1:11" x14ac:dyDescent="0.25">
      <c r="A282" s="28"/>
      <c r="B282" s="29"/>
      <c r="C282" s="29"/>
      <c r="D282" s="30"/>
      <c r="E282" s="29"/>
      <c r="F282" s="29"/>
      <c r="G282" s="30"/>
      <c r="H282" s="30"/>
      <c r="I282" s="29"/>
      <c r="J282" s="30"/>
      <c r="K282" s="30"/>
    </row>
    <row r="283" spans="1:11" x14ac:dyDescent="0.25">
      <c r="A283" s="28"/>
      <c r="B283" s="29"/>
      <c r="C283" s="29"/>
      <c r="D283" s="30"/>
      <c r="E283" s="29"/>
      <c r="F283" s="29"/>
      <c r="G283" s="30"/>
      <c r="H283" s="30"/>
      <c r="I283" s="29"/>
      <c r="J283" s="30"/>
      <c r="K283" s="30"/>
    </row>
    <row r="284" spans="1:11" x14ac:dyDescent="0.25">
      <c r="A284" s="28"/>
      <c r="B284" s="29"/>
      <c r="C284" s="29"/>
      <c r="D284" s="30"/>
      <c r="E284" s="29"/>
      <c r="F284" s="29"/>
      <c r="G284" s="30"/>
      <c r="H284" s="30"/>
      <c r="I284" s="29"/>
      <c r="J284" s="30"/>
      <c r="K284" s="30"/>
    </row>
    <row r="285" spans="1:11" x14ac:dyDescent="0.25">
      <c r="A285" s="28"/>
      <c r="B285" s="29"/>
      <c r="C285" s="29"/>
      <c r="D285" s="30"/>
      <c r="E285" s="29"/>
      <c r="F285" s="29"/>
      <c r="G285" s="30"/>
      <c r="H285" s="30"/>
      <c r="I285" s="29"/>
      <c r="J285" s="30"/>
      <c r="K285" s="30"/>
    </row>
    <row r="286" spans="1:11" x14ac:dyDescent="0.25">
      <c r="A286" s="28"/>
      <c r="B286" s="29"/>
      <c r="C286" s="29"/>
      <c r="D286" s="30"/>
      <c r="E286" s="29"/>
      <c r="F286" s="29"/>
      <c r="G286" s="30"/>
      <c r="H286" s="30"/>
      <c r="I286" s="29"/>
      <c r="J286" s="30"/>
      <c r="K286" s="30"/>
    </row>
    <row r="288" spans="1:11" ht="15.75" x14ac:dyDescent="0.25">
      <c r="A288" s="456" t="s">
        <v>10</v>
      </c>
      <c r="B288" s="456"/>
      <c r="C288" s="456"/>
      <c r="D288" s="456"/>
      <c r="E288" s="456"/>
      <c r="F288" s="456"/>
      <c r="G288" s="456"/>
      <c r="H288" s="456"/>
      <c r="I288" s="456"/>
      <c r="J288" s="456"/>
      <c r="K288" s="456"/>
    </row>
    <row r="289" spans="1:11" ht="15.75" x14ac:dyDescent="0.25">
      <c r="A289" s="456" t="s">
        <v>11</v>
      </c>
      <c r="B289" s="456"/>
      <c r="C289" s="456"/>
      <c r="D289" s="456"/>
      <c r="E289" s="456"/>
      <c r="F289" s="456"/>
      <c r="G289" s="456"/>
      <c r="H289" s="456"/>
      <c r="I289" s="456"/>
      <c r="J289" s="456"/>
      <c r="K289" s="456"/>
    </row>
    <row r="290" spans="1:11" x14ac:dyDescent="0.25">
      <c r="A290" s="2" t="s">
        <v>8</v>
      </c>
      <c r="B290" s="465" t="s">
        <v>139</v>
      </c>
      <c r="C290" s="466"/>
      <c r="D290" s="466"/>
      <c r="E290" s="467"/>
      <c r="F290" s="9" t="s">
        <v>48</v>
      </c>
      <c r="G290" s="468" t="s">
        <v>49</v>
      </c>
      <c r="H290" s="469"/>
      <c r="I290" s="469"/>
      <c r="J290" s="469"/>
      <c r="K290" s="470"/>
    </row>
    <row r="291" spans="1:11" x14ac:dyDescent="0.25">
      <c r="A291" s="4" t="s">
        <v>9</v>
      </c>
      <c r="B291" s="471" t="s">
        <v>72</v>
      </c>
      <c r="C291" s="471"/>
      <c r="D291" s="471"/>
      <c r="E291" s="471"/>
      <c r="F291" s="11" t="s">
        <v>50</v>
      </c>
      <c r="G291" s="471" t="s">
        <v>121</v>
      </c>
      <c r="H291" s="471"/>
      <c r="I291" s="471"/>
      <c r="J291" s="471"/>
      <c r="K291" s="471"/>
    </row>
    <row r="292" spans="1:11" x14ac:dyDescent="0.25">
      <c r="A292" s="464" t="s">
        <v>0</v>
      </c>
      <c r="B292" s="464" t="s">
        <v>1</v>
      </c>
      <c r="C292" s="464" t="s">
        <v>2</v>
      </c>
      <c r="D292" s="464"/>
      <c r="E292" s="464"/>
      <c r="F292" s="464" t="s">
        <v>3</v>
      </c>
      <c r="G292" s="464"/>
      <c r="H292" s="464"/>
      <c r="I292" s="464" t="s">
        <v>4</v>
      </c>
      <c r="J292" s="464"/>
      <c r="K292" s="464"/>
    </row>
    <row r="293" spans="1:11" x14ac:dyDescent="0.25">
      <c r="A293" s="464"/>
      <c r="B293" s="464"/>
      <c r="C293" s="2" t="s">
        <v>5</v>
      </c>
      <c r="D293" s="3" t="s">
        <v>6</v>
      </c>
      <c r="E293" s="2" t="s">
        <v>7</v>
      </c>
      <c r="F293" s="2" t="s">
        <v>5</v>
      </c>
      <c r="G293" s="3" t="s">
        <v>6</v>
      </c>
      <c r="H293" s="2" t="s">
        <v>7</v>
      </c>
      <c r="I293" s="2" t="s">
        <v>5</v>
      </c>
      <c r="J293" s="3" t="s">
        <v>6</v>
      </c>
      <c r="K293" s="2" t="s">
        <v>7</v>
      </c>
    </row>
    <row r="294" spans="1:11" x14ac:dyDescent="0.25">
      <c r="A294" s="1"/>
      <c r="B294" s="1" t="s">
        <v>42</v>
      </c>
      <c r="C294" s="1"/>
      <c r="D294" s="34"/>
      <c r="E294" s="1"/>
      <c r="F294" s="1"/>
      <c r="G294" s="34"/>
      <c r="H294" s="1"/>
      <c r="I294" s="1">
        <v>0</v>
      </c>
      <c r="J294" s="34">
        <v>0</v>
      </c>
      <c r="K294" s="1">
        <v>0</v>
      </c>
    </row>
    <row r="295" spans="1:11" ht="15.75" x14ac:dyDescent="0.25">
      <c r="A295" s="7">
        <v>42009</v>
      </c>
      <c r="B295" s="8" t="s">
        <v>43</v>
      </c>
      <c r="C295" s="6">
        <v>2000</v>
      </c>
      <c r="D295" s="27">
        <f>+E295/C295</f>
        <v>4.931E-2</v>
      </c>
      <c r="E295" s="8">
        <v>98.62</v>
      </c>
      <c r="F295" s="8"/>
      <c r="G295" s="27"/>
      <c r="H295" s="8"/>
      <c r="I295" s="6">
        <f>+I294+C295</f>
        <v>2000</v>
      </c>
      <c r="J295" s="27">
        <f>+K295/I295</f>
        <v>4.931E-2</v>
      </c>
      <c r="K295" s="8">
        <f>+K294+E295</f>
        <v>98.62</v>
      </c>
    </row>
    <row r="296" spans="1:11" ht="15.75" x14ac:dyDescent="0.25">
      <c r="A296" s="106">
        <v>42289</v>
      </c>
      <c r="B296" s="107" t="s">
        <v>334</v>
      </c>
      <c r="C296" s="107"/>
      <c r="D296" s="107"/>
      <c r="E296" s="107"/>
      <c r="F296" s="107">
        <v>1</v>
      </c>
      <c r="G296" s="108">
        <f>+J295</f>
        <v>4.931E-2</v>
      </c>
      <c r="H296" s="108">
        <f>+G296*F296</f>
        <v>4.931E-2</v>
      </c>
      <c r="I296" s="107">
        <f>+I295-F296</f>
        <v>1999</v>
      </c>
      <c r="J296" s="108">
        <f>+K296/I296</f>
        <v>4.931E-2</v>
      </c>
      <c r="K296" s="65">
        <f>+K295-H296</f>
        <v>98.570689999999999</v>
      </c>
    </row>
    <row r="297" spans="1:11" ht="15.75" x14ac:dyDescent="0.25">
      <c r="A297" s="122">
        <v>42293</v>
      </c>
      <c r="B297" s="107" t="s">
        <v>354</v>
      </c>
      <c r="C297" s="68"/>
      <c r="D297" s="69"/>
      <c r="E297" s="68"/>
      <c r="F297" s="68">
        <v>1</v>
      </c>
      <c r="G297" s="69">
        <f>+J296</f>
        <v>4.931E-2</v>
      </c>
      <c r="H297" s="69">
        <f>+G297*F297</f>
        <v>4.931E-2</v>
      </c>
      <c r="I297" s="68">
        <f>+I296-F297</f>
        <v>1998</v>
      </c>
      <c r="J297" s="69">
        <f>+K297/I297</f>
        <v>4.931E-2</v>
      </c>
      <c r="K297" s="69">
        <f>+K296-H297</f>
        <v>98.521379999999994</v>
      </c>
    </row>
    <row r="298" spans="1:11" ht="15.75" x14ac:dyDescent="0.25">
      <c r="A298" s="122">
        <v>42300</v>
      </c>
      <c r="B298" s="107" t="s">
        <v>380</v>
      </c>
      <c r="C298" s="68"/>
      <c r="D298" s="69"/>
      <c r="E298" s="68"/>
      <c r="F298" s="68">
        <v>1</v>
      </c>
      <c r="G298" s="69">
        <f>+J297</f>
        <v>4.931E-2</v>
      </c>
      <c r="H298" s="69">
        <f>+G298*F298</f>
        <v>4.931E-2</v>
      </c>
      <c r="I298" s="68">
        <f>+I297-F298</f>
        <v>1997</v>
      </c>
      <c r="J298" s="69">
        <f>+K298/I298</f>
        <v>4.9309999999999993E-2</v>
      </c>
      <c r="K298" s="69">
        <f>+K297-H298</f>
        <v>98.472069999999988</v>
      </c>
    </row>
    <row r="299" spans="1:11" x14ac:dyDescent="0.25">
      <c r="A299" s="5"/>
      <c r="B299" s="2"/>
      <c r="C299" s="2"/>
      <c r="D299" s="3"/>
      <c r="E299" s="2"/>
      <c r="F299" s="2"/>
      <c r="G299" s="3"/>
      <c r="H299" s="3"/>
      <c r="I299" s="2"/>
      <c r="J299" s="3"/>
      <c r="K299" s="3"/>
    </row>
    <row r="301" spans="1:11" ht="15.75" x14ac:dyDescent="0.25">
      <c r="A301" s="456" t="s">
        <v>10</v>
      </c>
      <c r="B301" s="456"/>
      <c r="C301" s="456"/>
      <c r="D301" s="456"/>
      <c r="E301" s="456"/>
      <c r="F301" s="456"/>
      <c r="G301" s="456"/>
      <c r="H301" s="456"/>
      <c r="I301" s="456"/>
      <c r="J301" s="456"/>
      <c r="K301" s="456"/>
    </row>
    <row r="302" spans="1:11" ht="15.75" x14ac:dyDescent="0.25">
      <c r="A302" s="456" t="s">
        <v>11</v>
      </c>
      <c r="B302" s="456"/>
      <c r="C302" s="456"/>
      <c r="D302" s="456"/>
      <c r="E302" s="456"/>
      <c r="F302" s="456"/>
      <c r="G302" s="456"/>
      <c r="H302" s="456"/>
      <c r="I302" s="456"/>
      <c r="J302" s="456"/>
      <c r="K302" s="456"/>
    </row>
    <row r="303" spans="1:11" x14ac:dyDescent="0.25">
      <c r="A303" s="2" t="s">
        <v>8</v>
      </c>
      <c r="B303" s="465" t="s">
        <v>140</v>
      </c>
      <c r="C303" s="466"/>
      <c r="D303" s="466"/>
      <c r="E303" s="467"/>
      <c r="F303" s="9" t="s">
        <v>48</v>
      </c>
      <c r="G303" s="468" t="s">
        <v>49</v>
      </c>
      <c r="H303" s="469"/>
      <c r="I303" s="469"/>
      <c r="J303" s="469"/>
      <c r="K303" s="470"/>
    </row>
    <row r="304" spans="1:11" x14ac:dyDescent="0.25">
      <c r="A304" s="4" t="s">
        <v>9</v>
      </c>
      <c r="B304" s="471" t="s">
        <v>72</v>
      </c>
      <c r="C304" s="471"/>
      <c r="D304" s="471"/>
      <c r="E304" s="471"/>
      <c r="F304" s="11" t="s">
        <v>50</v>
      </c>
      <c r="G304" s="471" t="s">
        <v>121</v>
      </c>
      <c r="H304" s="471"/>
      <c r="I304" s="471"/>
      <c r="J304" s="471"/>
      <c r="K304" s="471"/>
    </row>
    <row r="305" spans="1:11" x14ac:dyDescent="0.25">
      <c r="A305" s="464" t="s">
        <v>0</v>
      </c>
      <c r="B305" s="464" t="s">
        <v>1</v>
      </c>
      <c r="C305" s="464" t="s">
        <v>2</v>
      </c>
      <c r="D305" s="464"/>
      <c r="E305" s="464"/>
      <c r="F305" s="464" t="s">
        <v>3</v>
      </c>
      <c r="G305" s="464"/>
      <c r="H305" s="464"/>
      <c r="I305" s="464" t="s">
        <v>4</v>
      </c>
      <c r="J305" s="464"/>
      <c r="K305" s="464"/>
    </row>
    <row r="306" spans="1:11" x14ac:dyDescent="0.25">
      <c r="A306" s="464"/>
      <c r="B306" s="464"/>
      <c r="C306" s="2" t="s">
        <v>5</v>
      </c>
      <c r="D306" s="3" t="s">
        <v>6</v>
      </c>
      <c r="E306" s="2" t="s">
        <v>7</v>
      </c>
      <c r="F306" s="2" t="s">
        <v>5</v>
      </c>
      <c r="G306" s="3" t="s">
        <v>6</v>
      </c>
      <c r="H306" s="2" t="s">
        <v>7</v>
      </c>
      <c r="I306" s="2" t="s">
        <v>5</v>
      </c>
      <c r="J306" s="3" t="s">
        <v>6</v>
      </c>
      <c r="K306" s="2" t="s">
        <v>7</v>
      </c>
    </row>
    <row r="307" spans="1:11" x14ac:dyDescent="0.25">
      <c r="A307" s="1"/>
      <c r="B307" s="1" t="s">
        <v>42</v>
      </c>
      <c r="C307" s="1"/>
      <c r="D307" s="34"/>
      <c r="E307" s="1"/>
      <c r="F307" s="1"/>
      <c r="G307" s="34"/>
      <c r="H307" s="1"/>
      <c r="I307" s="1">
        <v>0</v>
      </c>
      <c r="J307" s="34">
        <v>0</v>
      </c>
      <c r="K307" s="1">
        <v>0</v>
      </c>
    </row>
    <row r="308" spans="1:11" ht="15.75" x14ac:dyDescent="0.25">
      <c r="A308" s="7">
        <v>42009</v>
      </c>
      <c r="B308" s="8" t="s">
        <v>43</v>
      </c>
      <c r="C308" s="6">
        <v>2000</v>
      </c>
      <c r="D308" s="27">
        <f>+E308/C308</f>
        <v>6.5000000000000002E-2</v>
      </c>
      <c r="E308" s="8">
        <v>130</v>
      </c>
      <c r="F308" s="8"/>
      <c r="G308" s="27"/>
      <c r="H308" s="8"/>
      <c r="I308" s="6">
        <f>+I307+C308</f>
        <v>2000</v>
      </c>
      <c r="J308" s="27">
        <f>+K308/I308</f>
        <v>6.5000000000000002E-2</v>
      </c>
      <c r="K308" s="8">
        <f>+K307+E308</f>
        <v>130</v>
      </c>
    </row>
    <row r="309" spans="1:11" ht="15.75" x14ac:dyDescent="0.25">
      <c r="A309" s="106">
        <v>42289</v>
      </c>
      <c r="B309" s="107" t="s">
        <v>334</v>
      </c>
      <c r="C309" s="107"/>
      <c r="D309" s="107"/>
      <c r="E309" s="107"/>
      <c r="F309" s="107">
        <v>1</v>
      </c>
      <c r="G309" s="108">
        <f>+J308</f>
        <v>6.5000000000000002E-2</v>
      </c>
      <c r="H309" s="108">
        <f>+G309*F309</f>
        <v>6.5000000000000002E-2</v>
      </c>
      <c r="I309" s="107">
        <f>+I308-F309</f>
        <v>1999</v>
      </c>
      <c r="J309" s="108">
        <f>+K309/I309</f>
        <v>6.5000000000000002E-2</v>
      </c>
      <c r="K309" s="65">
        <f>+K308-H309</f>
        <v>129.935</v>
      </c>
    </row>
    <row r="310" spans="1:11" ht="15.75" x14ac:dyDescent="0.25">
      <c r="A310" s="122">
        <v>42293</v>
      </c>
      <c r="B310" s="107" t="s">
        <v>354</v>
      </c>
      <c r="C310" s="68"/>
      <c r="D310" s="69"/>
      <c r="E310" s="68"/>
      <c r="F310" s="68">
        <v>1</v>
      </c>
      <c r="G310" s="69">
        <f>+J309</f>
        <v>6.5000000000000002E-2</v>
      </c>
      <c r="H310" s="69">
        <f>+G310*F310</f>
        <v>6.5000000000000002E-2</v>
      </c>
      <c r="I310" s="68">
        <f>+I309-F310</f>
        <v>1998</v>
      </c>
      <c r="J310" s="69">
        <f>+K310/I310</f>
        <v>6.5000000000000002E-2</v>
      </c>
      <c r="K310" s="69">
        <f>+K309-H310</f>
        <v>129.87</v>
      </c>
    </row>
    <row r="311" spans="1:11" ht="15.75" x14ac:dyDescent="0.25">
      <c r="A311" s="122">
        <v>42300</v>
      </c>
      <c r="B311" s="107" t="s">
        <v>380</v>
      </c>
      <c r="C311" s="68"/>
      <c r="D311" s="69"/>
      <c r="E311" s="68"/>
      <c r="F311" s="68">
        <v>1</v>
      </c>
      <c r="G311" s="69">
        <f>+J310</f>
        <v>6.5000000000000002E-2</v>
      </c>
      <c r="H311" s="69">
        <f>+G311*F311</f>
        <v>6.5000000000000002E-2</v>
      </c>
      <c r="I311" s="68">
        <f>+I310-F311</f>
        <v>1997</v>
      </c>
      <c r="J311" s="69">
        <f>+K311/I311</f>
        <v>6.5000000000000002E-2</v>
      </c>
      <c r="K311" s="69">
        <f>+K310-H311</f>
        <v>129.80500000000001</v>
      </c>
    </row>
    <row r="312" spans="1:11" x14ac:dyDescent="0.25">
      <c r="A312" s="5"/>
      <c r="B312" s="2"/>
      <c r="C312" s="2"/>
      <c r="D312" s="3"/>
      <c r="E312" s="2"/>
      <c r="F312" s="2"/>
      <c r="G312" s="3"/>
      <c r="H312" s="3"/>
      <c r="I312" s="2"/>
      <c r="J312" s="3"/>
      <c r="K312" s="3"/>
    </row>
    <row r="315" spans="1:11" ht="15.75" x14ac:dyDescent="0.25">
      <c r="A315" s="456" t="s">
        <v>10</v>
      </c>
      <c r="B315" s="456"/>
      <c r="C315" s="456"/>
      <c r="D315" s="456"/>
      <c r="E315" s="456"/>
      <c r="F315" s="456"/>
      <c r="G315" s="456"/>
      <c r="H315" s="456"/>
      <c r="I315" s="456"/>
      <c r="J315" s="456"/>
      <c r="K315" s="456"/>
    </row>
    <row r="316" spans="1:11" ht="15.75" x14ac:dyDescent="0.25">
      <c r="A316" s="456" t="s">
        <v>11</v>
      </c>
      <c r="B316" s="456"/>
      <c r="C316" s="456"/>
      <c r="D316" s="456"/>
      <c r="E316" s="456"/>
      <c r="F316" s="456"/>
      <c r="G316" s="456"/>
      <c r="H316" s="456"/>
      <c r="I316" s="456"/>
      <c r="J316" s="456"/>
      <c r="K316" s="456"/>
    </row>
    <row r="317" spans="1:11" x14ac:dyDescent="0.25">
      <c r="A317" s="2" t="s">
        <v>8</v>
      </c>
      <c r="B317" s="465" t="s">
        <v>141</v>
      </c>
      <c r="C317" s="466"/>
      <c r="D317" s="466"/>
      <c r="E317" s="467"/>
      <c r="F317" s="9" t="s">
        <v>48</v>
      </c>
      <c r="G317" s="468" t="s">
        <v>49</v>
      </c>
      <c r="H317" s="469"/>
      <c r="I317" s="469"/>
      <c r="J317" s="469"/>
      <c r="K317" s="470"/>
    </row>
    <row r="318" spans="1:11" x14ac:dyDescent="0.25">
      <c r="A318" s="4" t="s">
        <v>9</v>
      </c>
      <c r="B318" s="471" t="s">
        <v>66</v>
      </c>
      <c r="C318" s="471"/>
      <c r="D318" s="471"/>
      <c r="E318" s="471"/>
      <c r="F318" s="11" t="s">
        <v>50</v>
      </c>
      <c r="G318" s="471" t="s">
        <v>121</v>
      </c>
      <c r="H318" s="471"/>
      <c r="I318" s="471"/>
      <c r="J318" s="471"/>
      <c r="K318" s="471"/>
    </row>
    <row r="319" spans="1:11" x14ac:dyDescent="0.25">
      <c r="A319" s="464" t="s">
        <v>0</v>
      </c>
      <c r="B319" s="464" t="s">
        <v>1</v>
      </c>
      <c r="C319" s="464" t="s">
        <v>2</v>
      </c>
      <c r="D319" s="464"/>
      <c r="E319" s="464"/>
      <c r="F319" s="464" t="s">
        <v>3</v>
      </c>
      <c r="G319" s="464"/>
      <c r="H319" s="464"/>
      <c r="I319" s="464" t="s">
        <v>4</v>
      </c>
      <c r="J319" s="464"/>
      <c r="K319" s="464"/>
    </row>
    <row r="320" spans="1:11" x14ac:dyDescent="0.25">
      <c r="A320" s="464"/>
      <c r="B320" s="464"/>
      <c r="C320" s="2" t="s">
        <v>5</v>
      </c>
      <c r="D320" s="3" t="s">
        <v>6</v>
      </c>
      <c r="E320" s="2" t="s">
        <v>7</v>
      </c>
      <c r="F320" s="2" t="s">
        <v>5</v>
      </c>
      <c r="G320" s="3" t="s">
        <v>6</v>
      </c>
      <c r="H320" s="2" t="s">
        <v>7</v>
      </c>
      <c r="I320" s="2" t="s">
        <v>5</v>
      </c>
      <c r="J320" s="3" t="s">
        <v>6</v>
      </c>
      <c r="K320" s="2" t="s">
        <v>7</v>
      </c>
    </row>
    <row r="321" spans="1:11" x14ac:dyDescent="0.25">
      <c r="A321" s="1"/>
      <c r="B321" s="1" t="s">
        <v>42</v>
      </c>
      <c r="C321" s="1"/>
      <c r="D321" s="34"/>
      <c r="E321" s="1"/>
      <c r="F321" s="1"/>
      <c r="G321" s="34"/>
      <c r="H321" s="1"/>
      <c r="I321" s="1">
        <v>0</v>
      </c>
      <c r="J321" s="34">
        <v>0</v>
      </c>
      <c r="K321" s="1">
        <v>0</v>
      </c>
    </row>
    <row r="322" spans="1:11" ht="15.75" x14ac:dyDescent="0.25">
      <c r="A322" s="7">
        <v>42009</v>
      </c>
      <c r="B322" s="8" t="s">
        <v>43</v>
      </c>
      <c r="C322" s="6">
        <v>2000</v>
      </c>
      <c r="D322" s="27">
        <f>+E322/C322</f>
        <v>3.9E-2</v>
      </c>
      <c r="E322" s="8">
        <v>78</v>
      </c>
      <c r="F322" s="8"/>
      <c r="G322" s="27"/>
      <c r="H322" s="8"/>
      <c r="I322" s="6">
        <f>+I321+C322</f>
        <v>2000</v>
      </c>
      <c r="J322" s="27">
        <f>+K322/I322</f>
        <v>3.9E-2</v>
      </c>
      <c r="K322" s="8">
        <f>+K321+E322</f>
        <v>78</v>
      </c>
    </row>
    <row r="323" spans="1:11" ht="15.75" x14ac:dyDescent="0.25">
      <c r="A323" s="106">
        <v>42289</v>
      </c>
      <c r="B323" s="107" t="s">
        <v>334</v>
      </c>
      <c r="C323" s="107"/>
      <c r="D323" s="107"/>
      <c r="E323" s="107"/>
      <c r="F323" s="107">
        <v>1</v>
      </c>
      <c r="G323" s="108">
        <f>+J322</f>
        <v>3.9E-2</v>
      </c>
      <c r="H323" s="108">
        <f>+G323*F323</f>
        <v>3.9E-2</v>
      </c>
      <c r="I323" s="107">
        <f>+I322-F323</f>
        <v>1999</v>
      </c>
      <c r="J323" s="108">
        <f>+K323/I323</f>
        <v>3.9E-2</v>
      </c>
      <c r="K323" s="65">
        <f>+K322-H323</f>
        <v>77.960999999999999</v>
      </c>
    </row>
    <row r="324" spans="1:11" ht="15.75" x14ac:dyDescent="0.25">
      <c r="A324" s="122">
        <v>42293</v>
      </c>
      <c r="B324" s="107" t="s">
        <v>354</v>
      </c>
      <c r="C324" s="68"/>
      <c r="D324" s="69"/>
      <c r="E324" s="68"/>
      <c r="F324" s="68">
        <v>1</v>
      </c>
      <c r="G324" s="69">
        <f>+J323</f>
        <v>3.9E-2</v>
      </c>
      <c r="H324" s="69">
        <f>+G324*F324</f>
        <v>3.9E-2</v>
      </c>
      <c r="I324" s="68">
        <f>+I323-F324</f>
        <v>1998</v>
      </c>
      <c r="J324" s="69">
        <f>+K324/I324</f>
        <v>3.9E-2</v>
      </c>
      <c r="K324" s="69">
        <f>+K323-H324</f>
        <v>77.921999999999997</v>
      </c>
    </row>
    <row r="325" spans="1:11" ht="15.75" x14ac:dyDescent="0.25">
      <c r="A325" s="122">
        <v>42300</v>
      </c>
      <c r="B325" s="107" t="s">
        <v>380</v>
      </c>
      <c r="C325" s="68"/>
      <c r="D325" s="69"/>
      <c r="E325" s="68"/>
      <c r="F325" s="68">
        <v>1</v>
      </c>
      <c r="G325" s="69">
        <f>+J324</f>
        <v>3.9E-2</v>
      </c>
      <c r="H325" s="69">
        <f>+G325*F325</f>
        <v>3.9E-2</v>
      </c>
      <c r="I325" s="68">
        <f>+I324-F325</f>
        <v>1997</v>
      </c>
      <c r="J325" s="69">
        <f>+K325/I325</f>
        <v>3.9E-2</v>
      </c>
      <c r="K325" s="69">
        <f>+K324-H325</f>
        <v>77.882999999999996</v>
      </c>
    </row>
    <row r="326" spans="1:11" x14ac:dyDescent="0.25">
      <c r="A326" s="5"/>
      <c r="B326" s="2"/>
      <c r="C326" s="2"/>
      <c r="D326" s="3"/>
      <c r="E326" s="2"/>
      <c r="F326" s="2"/>
      <c r="G326" s="3"/>
      <c r="H326" s="3"/>
      <c r="I326" s="2"/>
      <c r="J326" s="3"/>
      <c r="K326" s="3"/>
    </row>
    <row r="330" spans="1:11" ht="15.75" x14ac:dyDescent="0.25">
      <c r="A330" s="456" t="s">
        <v>10</v>
      </c>
      <c r="B330" s="456"/>
      <c r="C330" s="456"/>
      <c r="D330" s="456"/>
      <c r="E330" s="456"/>
      <c r="F330" s="456"/>
      <c r="G330" s="456"/>
      <c r="H330" s="456"/>
      <c r="I330" s="456"/>
      <c r="J330" s="456"/>
      <c r="K330" s="456"/>
    </row>
    <row r="331" spans="1:11" ht="15.75" x14ac:dyDescent="0.25">
      <c r="A331" s="456" t="s">
        <v>11</v>
      </c>
      <c r="B331" s="456"/>
      <c r="C331" s="456"/>
      <c r="D331" s="456"/>
      <c r="E331" s="456"/>
      <c r="F331" s="456"/>
      <c r="G331" s="456"/>
      <c r="H331" s="456"/>
      <c r="I331" s="456"/>
      <c r="J331" s="456"/>
      <c r="K331" s="456"/>
    </row>
    <row r="332" spans="1:11" x14ac:dyDescent="0.25">
      <c r="A332" s="2" t="s">
        <v>8</v>
      </c>
      <c r="B332" s="465" t="s">
        <v>142</v>
      </c>
      <c r="C332" s="466"/>
      <c r="D332" s="466"/>
      <c r="E332" s="467"/>
      <c r="F332" s="9" t="s">
        <v>48</v>
      </c>
      <c r="G332" s="468" t="s">
        <v>49</v>
      </c>
      <c r="H332" s="469"/>
      <c r="I332" s="469"/>
      <c r="J332" s="469"/>
      <c r="K332" s="470"/>
    </row>
    <row r="333" spans="1:11" x14ac:dyDescent="0.25">
      <c r="A333" s="4" t="s">
        <v>9</v>
      </c>
      <c r="B333" s="471" t="s">
        <v>72</v>
      </c>
      <c r="C333" s="471"/>
      <c r="D333" s="471"/>
      <c r="E333" s="471"/>
      <c r="F333" s="11" t="s">
        <v>50</v>
      </c>
      <c r="G333" s="471" t="s">
        <v>121</v>
      </c>
      <c r="H333" s="471"/>
      <c r="I333" s="471"/>
      <c r="J333" s="471"/>
      <c r="K333" s="471"/>
    </row>
    <row r="334" spans="1:11" x14ac:dyDescent="0.25">
      <c r="A334" s="464" t="s">
        <v>0</v>
      </c>
      <c r="B334" s="464" t="s">
        <v>1</v>
      </c>
      <c r="C334" s="464" t="s">
        <v>2</v>
      </c>
      <c r="D334" s="464"/>
      <c r="E334" s="464"/>
      <c r="F334" s="464" t="s">
        <v>3</v>
      </c>
      <c r="G334" s="464"/>
      <c r="H334" s="464"/>
      <c r="I334" s="464" t="s">
        <v>4</v>
      </c>
      <c r="J334" s="464"/>
      <c r="K334" s="464"/>
    </row>
    <row r="335" spans="1:11" x14ac:dyDescent="0.25">
      <c r="A335" s="464"/>
      <c r="B335" s="464"/>
      <c r="C335" s="2" t="s">
        <v>5</v>
      </c>
      <c r="D335" s="3" t="s">
        <v>6</v>
      </c>
      <c r="E335" s="2" t="s">
        <v>7</v>
      </c>
      <c r="F335" s="2" t="s">
        <v>5</v>
      </c>
      <c r="G335" s="3" t="s">
        <v>6</v>
      </c>
      <c r="H335" s="2" t="s">
        <v>7</v>
      </c>
      <c r="I335" s="2" t="s">
        <v>5</v>
      </c>
      <c r="J335" s="3" t="s">
        <v>6</v>
      </c>
      <c r="K335" s="2" t="s">
        <v>7</v>
      </c>
    </row>
    <row r="336" spans="1:11" x14ac:dyDescent="0.25">
      <c r="A336" s="1"/>
      <c r="B336" s="1" t="s">
        <v>42</v>
      </c>
      <c r="C336" s="1"/>
      <c r="D336" s="34"/>
      <c r="E336" s="1"/>
      <c r="F336" s="1"/>
      <c r="G336" s="34"/>
      <c r="H336" s="1"/>
      <c r="I336" s="1">
        <v>0</v>
      </c>
      <c r="J336" s="34">
        <v>0</v>
      </c>
      <c r="K336" s="1">
        <v>0</v>
      </c>
    </row>
    <row r="337" spans="1:11" ht="15.75" x14ac:dyDescent="0.25">
      <c r="A337" s="7">
        <v>42009</v>
      </c>
      <c r="B337" s="8" t="s">
        <v>43</v>
      </c>
      <c r="C337" s="6">
        <v>2000</v>
      </c>
      <c r="D337" s="27">
        <f>+E337/C337</f>
        <v>5.5E-2</v>
      </c>
      <c r="E337" s="8">
        <v>110</v>
      </c>
      <c r="F337" s="8"/>
      <c r="G337" s="27"/>
      <c r="H337" s="8"/>
      <c r="I337" s="6">
        <f>+I336+C337</f>
        <v>2000</v>
      </c>
      <c r="J337" s="27">
        <f>+K337/I337</f>
        <v>5.5E-2</v>
      </c>
      <c r="K337" s="8">
        <f>+K336+E337</f>
        <v>110</v>
      </c>
    </row>
    <row r="338" spans="1:11" ht="15.75" x14ac:dyDescent="0.25">
      <c r="A338" s="106">
        <v>42289</v>
      </c>
      <c r="B338" s="107" t="s">
        <v>334</v>
      </c>
      <c r="C338" s="107"/>
      <c r="D338" s="107"/>
      <c r="E338" s="107"/>
      <c r="F338" s="107">
        <v>1</v>
      </c>
      <c r="G338" s="108">
        <f>+J337</f>
        <v>5.5E-2</v>
      </c>
      <c r="H338" s="108">
        <f>+G338*F338</f>
        <v>5.5E-2</v>
      </c>
      <c r="I338" s="107">
        <f>+I337-F338</f>
        <v>1999</v>
      </c>
      <c r="J338" s="108">
        <f>+K338/I338</f>
        <v>5.4999999999999993E-2</v>
      </c>
      <c r="K338" s="65">
        <f>+K337-H338</f>
        <v>109.94499999999999</v>
      </c>
    </row>
    <row r="339" spans="1:11" ht="15.75" x14ac:dyDescent="0.25">
      <c r="A339" s="122">
        <v>42293</v>
      </c>
      <c r="B339" s="107" t="s">
        <v>354</v>
      </c>
      <c r="C339" s="68"/>
      <c r="D339" s="69"/>
      <c r="E339" s="68"/>
      <c r="F339" s="68">
        <v>1</v>
      </c>
      <c r="G339" s="69">
        <f>+J338</f>
        <v>5.4999999999999993E-2</v>
      </c>
      <c r="H339" s="69">
        <f>+G339*F339</f>
        <v>5.4999999999999993E-2</v>
      </c>
      <c r="I339" s="68">
        <f>+I338-F339</f>
        <v>1998</v>
      </c>
      <c r="J339" s="69">
        <f>+K339/I339</f>
        <v>5.4999999999999993E-2</v>
      </c>
      <c r="K339" s="69">
        <f>+K338-H339</f>
        <v>109.88999999999999</v>
      </c>
    </row>
    <row r="340" spans="1:11" ht="15.75" x14ac:dyDescent="0.25">
      <c r="A340" s="122">
        <v>42300</v>
      </c>
      <c r="B340" s="107" t="s">
        <v>380</v>
      </c>
      <c r="C340" s="68"/>
      <c r="D340" s="69"/>
      <c r="E340" s="68"/>
      <c r="F340" s="68">
        <v>1</v>
      </c>
      <c r="G340" s="69">
        <f>+J339</f>
        <v>5.4999999999999993E-2</v>
      </c>
      <c r="H340" s="69">
        <f>+G340*F340</f>
        <v>5.4999999999999993E-2</v>
      </c>
      <c r="I340" s="68">
        <f>+I339-F340</f>
        <v>1997</v>
      </c>
      <c r="J340" s="69">
        <f>+K340/I340</f>
        <v>5.4999999999999986E-2</v>
      </c>
      <c r="K340" s="69">
        <f>+K339-H340</f>
        <v>109.83499999999998</v>
      </c>
    </row>
    <row r="341" spans="1:11" x14ac:dyDescent="0.25">
      <c r="A341" s="5"/>
      <c r="B341" s="2"/>
      <c r="C341" s="2"/>
      <c r="D341" s="3"/>
      <c r="E341" s="2"/>
      <c r="F341" s="2"/>
      <c r="G341" s="3"/>
      <c r="H341" s="3"/>
      <c r="I341" s="2"/>
      <c r="J341" s="3"/>
      <c r="K341" s="3"/>
    </row>
    <row r="345" spans="1:11" ht="15.75" x14ac:dyDescent="0.25">
      <c r="A345" s="456" t="s">
        <v>10</v>
      </c>
      <c r="B345" s="456"/>
      <c r="C345" s="456"/>
      <c r="D345" s="456"/>
      <c r="E345" s="456"/>
      <c r="F345" s="456"/>
      <c r="G345" s="456"/>
      <c r="H345" s="456"/>
      <c r="I345" s="456"/>
      <c r="J345" s="456"/>
      <c r="K345" s="456"/>
    </row>
    <row r="346" spans="1:11" ht="15.75" x14ac:dyDescent="0.25">
      <c r="A346" s="456" t="s">
        <v>11</v>
      </c>
      <c r="B346" s="456"/>
      <c r="C346" s="456"/>
      <c r="D346" s="456"/>
      <c r="E346" s="456"/>
      <c r="F346" s="456"/>
      <c r="G346" s="456"/>
      <c r="H346" s="456"/>
      <c r="I346" s="456"/>
      <c r="J346" s="456"/>
      <c r="K346" s="456"/>
    </row>
    <row r="347" spans="1:11" x14ac:dyDescent="0.25">
      <c r="A347" s="2" t="s">
        <v>8</v>
      </c>
      <c r="B347" s="465" t="s">
        <v>143</v>
      </c>
      <c r="C347" s="466"/>
      <c r="D347" s="466"/>
      <c r="E347" s="467"/>
      <c r="F347" s="9" t="s">
        <v>48</v>
      </c>
      <c r="G347" s="468" t="s">
        <v>49</v>
      </c>
      <c r="H347" s="469"/>
      <c r="I347" s="469"/>
      <c r="J347" s="469"/>
      <c r="K347" s="470"/>
    </row>
    <row r="348" spans="1:11" x14ac:dyDescent="0.25">
      <c r="A348" s="4" t="s">
        <v>9</v>
      </c>
      <c r="B348" s="471" t="s">
        <v>66</v>
      </c>
      <c r="C348" s="471"/>
      <c r="D348" s="471"/>
      <c r="E348" s="471"/>
      <c r="F348" s="11" t="s">
        <v>50</v>
      </c>
      <c r="G348" s="471" t="s">
        <v>121</v>
      </c>
      <c r="H348" s="471"/>
      <c r="I348" s="471"/>
      <c r="J348" s="471"/>
      <c r="K348" s="471"/>
    </row>
    <row r="349" spans="1:11" x14ac:dyDescent="0.25">
      <c r="A349" s="464" t="s">
        <v>0</v>
      </c>
      <c r="B349" s="464" t="s">
        <v>1</v>
      </c>
      <c r="C349" s="464" t="s">
        <v>2</v>
      </c>
      <c r="D349" s="464"/>
      <c r="E349" s="464"/>
      <c r="F349" s="464" t="s">
        <v>3</v>
      </c>
      <c r="G349" s="464"/>
      <c r="H349" s="464"/>
      <c r="I349" s="464" t="s">
        <v>4</v>
      </c>
      <c r="J349" s="464"/>
      <c r="K349" s="464"/>
    </row>
    <row r="350" spans="1:11" x14ac:dyDescent="0.25">
      <c r="A350" s="464"/>
      <c r="B350" s="464"/>
      <c r="C350" s="2" t="s">
        <v>5</v>
      </c>
      <c r="D350" s="3" t="s">
        <v>6</v>
      </c>
      <c r="E350" s="2" t="s">
        <v>7</v>
      </c>
      <c r="F350" s="2" t="s">
        <v>5</v>
      </c>
      <c r="G350" s="3" t="s">
        <v>6</v>
      </c>
      <c r="H350" s="2" t="s">
        <v>7</v>
      </c>
      <c r="I350" s="2" t="s">
        <v>5</v>
      </c>
      <c r="J350" s="3" t="s">
        <v>6</v>
      </c>
      <c r="K350" s="2" t="s">
        <v>7</v>
      </c>
    </row>
    <row r="351" spans="1:11" x14ac:dyDescent="0.25">
      <c r="A351" s="1"/>
      <c r="B351" s="1" t="s">
        <v>42</v>
      </c>
      <c r="C351" s="1"/>
      <c r="D351" s="34"/>
      <c r="E351" s="1"/>
      <c r="F351" s="1"/>
      <c r="G351" s="34"/>
      <c r="H351" s="1"/>
      <c r="I351" s="1">
        <v>0</v>
      </c>
      <c r="J351" s="34">
        <v>0</v>
      </c>
      <c r="K351" s="1">
        <v>0</v>
      </c>
    </row>
    <row r="352" spans="1:11" ht="15.75" x14ac:dyDescent="0.25">
      <c r="A352" s="7">
        <v>42009</v>
      </c>
      <c r="B352" s="8" t="s">
        <v>43</v>
      </c>
      <c r="C352" s="6">
        <v>2000</v>
      </c>
      <c r="D352" s="27">
        <f>+E352/C352</f>
        <v>3.7359999999999997E-2</v>
      </c>
      <c r="E352" s="8">
        <v>74.72</v>
      </c>
      <c r="F352" s="8"/>
      <c r="G352" s="27"/>
      <c r="H352" s="8"/>
      <c r="I352" s="6">
        <f>+I351+C352</f>
        <v>2000</v>
      </c>
      <c r="J352" s="27">
        <f>+K352/I352</f>
        <v>3.7359999999999997E-2</v>
      </c>
      <c r="K352" s="8">
        <f>+K351+E352</f>
        <v>74.72</v>
      </c>
    </row>
    <row r="353" spans="1:11" ht="15.75" x14ac:dyDescent="0.25">
      <c r="A353" s="106">
        <v>42289</v>
      </c>
      <c r="B353" s="107" t="s">
        <v>334</v>
      </c>
      <c r="C353" s="107"/>
      <c r="D353" s="107"/>
      <c r="E353" s="107"/>
      <c r="F353" s="107">
        <v>1</v>
      </c>
      <c r="G353" s="108">
        <f>+J352</f>
        <v>3.7359999999999997E-2</v>
      </c>
      <c r="H353" s="108">
        <f>+G353*F353</f>
        <v>3.7359999999999997E-2</v>
      </c>
      <c r="I353" s="107">
        <f>+I352-F353</f>
        <v>1999</v>
      </c>
      <c r="J353" s="108">
        <f>+K353/I353</f>
        <v>3.7359999999999997E-2</v>
      </c>
      <c r="K353" s="65">
        <f>+K352-H353</f>
        <v>74.682639999999992</v>
      </c>
    </row>
    <row r="354" spans="1:11" ht="15.75" x14ac:dyDescent="0.25">
      <c r="A354" s="122">
        <v>42293</v>
      </c>
      <c r="B354" s="107" t="s">
        <v>354</v>
      </c>
      <c r="C354" s="68"/>
      <c r="D354" s="69"/>
      <c r="E354" s="68"/>
      <c r="F354" s="68">
        <v>1</v>
      </c>
      <c r="G354" s="69">
        <f>+J353</f>
        <v>3.7359999999999997E-2</v>
      </c>
      <c r="H354" s="69">
        <f>+G354*F354</f>
        <v>3.7359999999999997E-2</v>
      </c>
      <c r="I354" s="68">
        <f>+I353-F354</f>
        <v>1998</v>
      </c>
      <c r="J354" s="69">
        <f>+K354/I354</f>
        <v>3.735999999999999E-2</v>
      </c>
      <c r="K354" s="69">
        <f>+K353-H354</f>
        <v>74.645279999999985</v>
      </c>
    </row>
    <row r="355" spans="1:11" ht="15.75" x14ac:dyDescent="0.25">
      <c r="A355" s="122">
        <v>42300</v>
      </c>
      <c r="B355" s="107" t="s">
        <v>380</v>
      </c>
      <c r="C355" s="68"/>
      <c r="D355" s="69"/>
      <c r="E355" s="68"/>
      <c r="F355" s="68">
        <v>1</v>
      </c>
      <c r="G355" s="69">
        <f>+J354</f>
        <v>3.735999999999999E-2</v>
      </c>
      <c r="H355" s="69">
        <f>+G355*F355</f>
        <v>3.735999999999999E-2</v>
      </c>
      <c r="I355" s="68">
        <f>+I354-F355</f>
        <v>1997</v>
      </c>
      <c r="J355" s="69">
        <f>+K355/I355</f>
        <v>3.735999999999999E-2</v>
      </c>
      <c r="K355" s="69">
        <f>+K354-H355</f>
        <v>74.607919999999979</v>
      </c>
    </row>
    <row r="356" spans="1:11" ht="15.75" x14ac:dyDescent="0.25">
      <c r="A356" s="5"/>
      <c r="B356" s="14"/>
      <c r="C356" s="2"/>
      <c r="D356" s="3"/>
      <c r="E356" s="2"/>
      <c r="F356" s="2"/>
      <c r="G356" s="3"/>
      <c r="H356" s="3"/>
      <c r="I356" s="2"/>
      <c r="J356" s="3"/>
      <c r="K356" s="3"/>
    </row>
    <row r="357" spans="1:11" ht="15.75" x14ac:dyDescent="0.25">
      <c r="A357" s="5"/>
      <c r="B357" s="14"/>
      <c r="C357" s="2"/>
      <c r="D357" s="3"/>
      <c r="E357" s="2"/>
      <c r="F357" s="2"/>
      <c r="G357" s="3"/>
      <c r="H357" s="3"/>
      <c r="I357" s="2"/>
      <c r="J357" s="3"/>
      <c r="K357" s="3"/>
    </row>
    <row r="358" spans="1:11" ht="15.75" x14ac:dyDescent="0.25">
      <c r="A358" s="5"/>
      <c r="B358" s="14"/>
      <c r="C358" s="2"/>
      <c r="D358" s="3"/>
      <c r="E358" s="2"/>
      <c r="F358" s="2"/>
      <c r="G358" s="3"/>
      <c r="H358" s="3"/>
      <c r="I358" s="2"/>
      <c r="J358" s="3"/>
      <c r="K358" s="3"/>
    </row>
    <row r="359" spans="1:11" x14ac:dyDescent="0.25">
      <c r="A359" s="5"/>
      <c r="B359" s="2"/>
      <c r="C359" s="2"/>
      <c r="D359" s="3"/>
      <c r="E359" s="2"/>
      <c r="F359" s="2"/>
      <c r="G359" s="3"/>
      <c r="H359" s="3"/>
      <c r="I359" s="2"/>
      <c r="J359" s="3"/>
      <c r="K359" s="3"/>
    </row>
    <row r="362" spans="1:11" ht="15.75" x14ac:dyDescent="0.25">
      <c r="A362" s="456" t="s">
        <v>10</v>
      </c>
      <c r="B362" s="456"/>
      <c r="C362" s="456"/>
      <c r="D362" s="456"/>
      <c r="E362" s="456"/>
      <c r="F362" s="456"/>
      <c r="G362" s="456"/>
      <c r="H362" s="456"/>
      <c r="I362" s="456"/>
      <c r="J362" s="456"/>
      <c r="K362" s="456"/>
    </row>
    <row r="363" spans="1:11" ht="15.75" x14ac:dyDescent="0.25">
      <c r="A363" s="456" t="s">
        <v>11</v>
      </c>
      <c r="B363" s="456"/>
      <c r="C363" s="456"/>
      <c r="D363" s="456"/>
      <c r="E363" s="456"/>
      <c r="F363" s="456"/>
      <c r="G363" s="456"/>
      <c r="H363" s="456"/>
      <c r="I363" s="456"/>
      <c r="J363" s="456"/>
      <c r="K363" s="456"/>
    </row>
    <row r="364" spans="1:11" x14ac:dyDescent="0.25">
      <c r="A364" s="2" t="s">
        <v>8</v>
      </c>
      <c r="B364" s="465" t="s">
        <v>145</v>
      </c>
      <c r="C364" s="466"/>
      <c r="D364" s="466"/>
      <c r="E364" s="467"/>
      <c r="F364" s="9" t="s">
        <v>48</v>
      </c>
      <c r="G364" s="468" t="s">
        <v>49</v>
      </c>
      <c r="H364" s="469"/>
      <c r="I364" s="469"/>
      <c r="J364" s="469"/>
      <c r="K364" s="470"/>
    </row>
    <row r="365" spans="1:11" x14ac:dyDescent="0.25">
      <c r="A365" s="4" t="s">
        <v>9</v>
      </c>
      <c r="B365" s="471" t="s">
        <v>44</v>
      </c>
      <c r="C365" s="471"/>
      <c r="D365" s="471"/>
      <c r="E365" s="471"/>
      <c r="F365" s="11" t="s">
        <v>50</v>
      </c>
      <c r="G365" s="471" t="s">
        <v>146</v>
      </c>
      <c r="H365" s="471"/>
      <c r="I365" s="471"/>
      <c r="J365" s="471"/>
      <c r="K365" s="471"/>
    </row>
    <row r="366" spans="1:11" x14ac:dyDescent="0.25">
      <c r="A366" s="464" t="s">
        <v>0</v>
      </c>
      <c r="B366" s="464" t="s">
        <v>1</v>
      </c>
      <c r="C366" s="464" t="s">
        <v>2</v>
      </c>
      <c r="D366" s="464"/>
      <c r="E366" s="464"/>
      <c r="F366" s="464" t="s">
        <v>3</v>
      </c>
      <c r="G366" s="464"/>
      <c r="H366" s="464"/>
      <c r="I366" s="464" t="s">
        <v>4</v>
      </c>
      <c r="J366" s="464"/>
      <c r="K366" s="464"/>
    </row>
    <row r="367" spans="1:11" x14ac:dyDescent="0.25">
      <c r="A367" s="464"/>
      <c r="B367" s="464"/>
      <c r="C367" s="2" t="s">
        <v>5</v>
      </c>
      <c r="D367" s="3" t="s">
        <v>6</v>
      </c>
      <c r="E367" s="2" t="s">
        <v>7</v>
      </c>
      <c r="F367" s="2" t="s">
        <v>5</v>
      </c>
      <c r="G367" s="3" t="s">
        <v>6</v>
      </c>
      <c r="H367" s="2" t="s">
        <v>7</v>
      </c>
      <c r="I367" s="2" t="s">
        <v>5</v>
      </c>
      <c r="J367" s="3" t="s">
        <v>6</v>
      </c>
      <c r="K367" s="2" t="s">
        <v>7</v>
      </c>
    </row>
    <row r="368" spans="1:11" x14ac:dyDescent="0.25">
      <c r="A368" s="1"/>
      <c r="B368" s="1" t="s">
        <v>42</v>
      </c>
      <c r="C368" s="1"/>
      <c r="D368" s="34"/>
      <c r="E368" s="1"/>
      <c r="F368" s="1"/>
      <c r="G368" s="34"/>
      <c r="H368" s="1"/>
      <c r="I368" s="1">
        <v>0</v>
      </c>
      <c r="J368" s="34">
        <v>0</v>
      </c>
      <c r="K368" s="1">
        <v>0</v>
      </c>
    </row>
    <row r="369" spans="1:11" ht="15.75" x14ac:dyDescent="0.25">
      <c r="A369" s="7">
        <v>42009</v>
      </c>
      <c r="B369" s="8" t="s">
        <v>43</v>
      </c>
      <c r="C369" s="6">
        <v>2000</v>
      </c>
      <c r="D369" s="27">
        <f>+E369/C369</f>
        <v>5.1999999999999998E-2</v>
      </c>
      <c r="E369" s="8">
        <v>104</v>
      </c>
      <c r="F369" s="8"/>
      <c r="G369" s="27"/>
      <c r="H369" s="8"/>
      <c r="I369" s="6">
        <f>+I368+C369</f>
        <v>2000</v>
      </c>
      <c r="J369" s="27">
        <f>+K369/I369</f>
        <v>5.1999999999999998E-2</v>
      </c>
      <c r="K369" s="8">
        <f>+K368+E369</f>
        <v>104</v>
      </c>
    </row>
    <row r="370" spans="1:11" x14ac:dyDescent="0.25">
      <c r="A370" s="62">
        <v>42644</v>
      </c>
      <c r="B370" s="63" t="s">
        <v>320</v>
      </c>
      <c r="C370" s="64"/>
      <c r="D370" s="65"/>
      <c r="E370" s="64"/>
      <c r="F370" s="64">
        <v>1</v>
      </c>
      <c r="G370" s="65">
        <f>+J369</f>
        <v>5.1999999999999998E-2</v>
      </c>
      <c r="H370" s="65">
        <f>+G370*F370</f>
        <v>5.1999999999999998E-2</v>
      </c>
      <c r="I370" s="64">
        <f>+I369-F370</f>
        <v>1999</v>
      </c>
      <c r="J370" s="65">
        <f>+K370/I370</f>
        <v>5.1999999999999998E-2</v>
      </c>
      <c r="K370" s="65">
        <f>+K369-H370</f>
        <v>103.94799999999999</v>
      </c>
    </row>
    <row r="371" spans="1:11" x14ac:dyDescent="0.25">
      <c r="A371" s="122">
        <v>42292</v>
      </c>
      <c r="B371" s="63" t="s">
        <v>350</v>
      </c>
      <c r="C371" s="68"/>
      <c r="D371" s="69"/>
      <c r="E371" s="68"/>
      <c r="F371" s="68">
        <v>1</v>
      </c>
      <c r="G371" s="69">
        <f>+J370</f>
        <v>5.1999999999999998E-2</v>
      </c>
      <c r="H371" s="65">
        <f>+G371*F371</f>
        <v>5.1999999999999998E-2</v>
      </c>
      <c r="I371" s="68">
        <f>+I370-F371</f>
        <v>1998</v>
      </c>
      <c r="J371" s="69">
        <f>+K371/I371</f>
        <v>5.1999999999999991E-2</v>
      </c>
      <c r="K371" s="69">
        <f>+K370-H371</f>
        <v>103.89599999999999</v>
      </c>
    </row>
    <row r="372" spans="1:11" x14ac:dyDescent="0.25">
      <c r="A372" s="122">
        <v>42298</v>
      </c>
      <c r="B372" s="63" t="s">
        <v>370</v>
      </c>
      <c r="C372" s="68"/>
      <c r="D372" s="69"/>
      <c r="E372" s="68"/>
      <c r="F372" s="68">
        <v>1</v>
      </c>
      <c r="G372" s="69">
        <f>+J371</f>
        <v>5.1999999999999991E-2</v>
      </c>
      <c r="H372" s="65">
        <f>+G372*F372</f>
        <v>5.1999999999999991E-2</v>
      </c>
      <c r="I372" s="68">
        <f>+I371-F372</f>
        <v>1997</v>
      </c>
      <c r="J372" s="69">
        <f>+K372/I372</f>
        <v>5.1999999999999991E-2</v>
      </c>
      <c r="K372" s="69">
        <f>+K371-H372</f>
        <v>103.84399999999998</v>
      </c>
    </row>
    <row r="373" spans="1:11" x14ac:dyDescent="0.25">
      <c r="A373" s="122">
        <v>42303</v>
      </c>
      <c r="B373" s="63" t="s">
        <v>387</v>
      </c>
      <c r="C373" s="68"/>
      <c r="D373" s="69"/>
      <c r="E373" s="68"/>
      <c r="F373" s="68">
        <v>1</v>
      </c>
      <c r="G373" s="69">
        <f>+J372</f>
        <v>5.1999999999999991E-2</v>
      </c>
      <c r="H373" s="65">
        <f>+G373*F373</f>
        <v>5.1999999999999991E-2</v>
      </c>
      <c r="I373" s="68">
        <f>+I372-F373</f>
        <v>1996</v>
      </c>
      <c r="J373" s="69">
        <f>+K373/I373</f>
        <v>5.1999999999999984E-2</v>
      </c>
      <c r="K373" s="69">
        <f>+K372-H373</f>
        <v>103.79199999999997</v>
      </c>
    </row>
    <row r="374" spans="1:11" x14ac:dyDescent="0.25">
      <c r="A374" s="5"/>
      <c r="B374" s="2"/>
      <c r="C374" s="2"/>
      <c r="D374" s="3"/>
      <c r="E374" s="2"/>
      <c r="F374" s="2"/>
      <c r="G374" s="3"/>
      <c r="H374" s="3"/>
      <c r="I374" s="2"/>
      <c r="J374" s="3"/>
      <c r="K374" s="3"/>
    </row>
    <row r="375" spans="1:11" x14ac:dyDescent="0.25">
      <c r="A375" s="5"/>
      <c r="B375" s="2"/>
      <c r="C375" s="2"/>
      <c r="D375" s="3"/>
      <c r="E375" s="2"/>
      <c r="F375" s="2"/>
      <c r="G375" s="3"/>
      <c r="H375" s="3"/>
      <c r="I375" s="2"/>
      <c r="J375" s="3"/>
      <c r="K375" s="3"/>
    </row>
    <row r="376" spans="1:11" x14ac:dyDescent="0.25">
      <c r="A376" s="5"/>
      <c r="B376" s="2"/>
      <c r="C376" s="2"/>
      <c r="D376" s="3"/>
      <c r="E376" s="2"/>
      <c r="F376" s="2"/>
      <c r="G376" s="3"/>
      <c r="H376" s="3"/>
      <c r="I376" s="2"/>
      <c r="J376" s="3"/>
      <c r="K376" s="3"/>
    </row>
    <row r="377" spans="1:11" x14ac:dyDescent="0.25">
      <c r="A377" s="28"/>
      <c r="B377" s="29"/>
      <c r="C377" s="29"/>
      <c r="D377" s="30"/>
      <c r="E377" s="29"/>
      <c r="F377" s="29"/>
      <c r="G377" s="30"/>
      <c r="H377" s="30"/>
      <c r="I377" s="29"/>
      <c r="J377" s="30"/>
      <c r="K377" s="30"/>
    </row>
    <row r="380" spans="1:11" ht="15.75" x14ac:dyDescent="0.25">
      <c r="A380" s="456" t="s">
        <v>10</v>
      </c>
      <c r="B380" s="456"/>
      <c r="C380" s="456"/>
      <c r="D380" s="456"/>
      <c r="E380" s="456"/>
      <c r="F380" s="456"/>
      <c r="G380" s="456"/>
      <c r="H380" s="456"/>
      <c r="I380" s="456"/>
      <c r="J380" s="456"/>
      <c r="K380" s="456"/>
    </row>
    <row r="381" spans="1:11" ht="15.75" x14ac:dyDescent="0.25">
      <c r="A381" s="456" t="s">
        <v>11</v>
      </c>
      <c r="B381" s="456"/>
      <c r="C381" s="456"/>
      <c r="D381" s="456"/>
      <c r="E381" s="456"/>
      <c r="F381" s="456"/>
      <c r="G381" s="456"/>
      <c r="H381" s="456"/>
      <c r="I381" s="456"/>
      <c r="J381" s="456"/>
      <c r="K381" s="456"/>
    </row>
    <row r="382" spans="1:11" x14ac:dyDescent="0.25">
      <c r="A382" s="2" t="s">
        <v>8</v>
      </c>
      <c r="B382" s="465" t="s">
        <v>147</v>
      </c>
      <c r="C382" s="466"/>
      <c r="D382" s="466"/>
      <c r="E382" s="467"/>
      <c r="F382" s="9" t="s">
        <v>48</v>
      </c>
      <c r="G382" s="468" t="s">
        <v>49</v>
      </c>
      <c r="H382" s="469"/>
      <c r="I382" s="469"/>
      <c r="J382" s="469"/>
      <c r="K382" s="470"/>
    </row>
    <row r="383" spans="1:11" x14ac:dyDescent="0.25">
      <c r="A383" s="4" t="s">
        <v>9</v>
      </c>
      <c r="B383" s="471" t="s">
        <v>66</v>
      </c>
      <c r="C383" s="471"/>
      <c r="D383" s="471"/>
      <c r="E383" s="471"/>
      <c r="F383" s="11" t="s">
        <v>50</v>
      </c>
      <c r="G383" s="471" t="s">
        <v>73</v>
      </c>
      <c r="H383" s="471"/>
      <c r="I383" s="471"/>
      <c r="J383" s="471"/>
      <c r="K383" s="471"/>
    </row>
    <row r="384" spans="1:11" x14ac:dyDescent="0.25">
      <c r="A384" s="464" t="s">
        <v>0</v>
      </c>
      <c r="B384" s="464" t="s">
        <v>1</v>
      </c>
      <c r="C384" s="464" t="s">
        <v>2</v>
      </c>
      <c r="D384" s="464"/>
      <c r="E384" s="464"/>
      <c r="F384" s="464" t="s">
        <v>3</v>
      </c>
      <c r="G384" s="464"/>
      <c r="H384" s="464"/>
      <c r="I384" s="464" t="s">
        <v>4</v>
      </c>
      <c r="J384" s="464"/>
      <c r="K384" s="464"/>
    </row>
    <row r="385" spans="1:11" x14ac:dyDescent="0.25">
      <c r="A385" s="464"/>
      <c r="B385" s="464"/>
      <c r="C385" s="2" t="s">
        <v>5</v>
      </c>
      <c r="D385" s="3" t="s">
        <v>6</v>
      </c>
      <c r="E385" s="2" t="s">
        <v>7</v>
      </c>
      <c r="F385" s="2" t="s">
        <v>5</v>
      </c>
      <c r="G385" s="3" t="s">
        <v>6</v>
      </c>
      <c r="H385" s="2" t="s">
        <v>7</v>
      </c>
      <c r="I385" s="2" t="s">
        <v>5</v>
      </c>
      <c r="J385" s="3" t="s">
        <v>6</v>
      </c>
      <c r="K385" s="2" t="s">
        <v>7</v>
      </c>
    </row>
    <row r="386" spans="1:11" x14ac:dyDescent="0.25">
      <c r="A386" s="1"/>
      <c r="B386" s="1" t="s">
        <v>42</v>
      </c>
      <c r="C386" s="1"/>
      <c r="D386" s="34"/>
      <c r="E386" s="1"/>
      <c r="F386" s="1"/>
      <c r="G386" s="34"/>
      <c r="H386" s="1"/>
      <c r="I386" s="1">
        <v>0</v>
      </c>
      <c r="J386" s="34">
        <v>0</v>
      </c>
      <c r="K386" s="1">
        <v>0</v>
      </c>
    </row>
    <row r="387" spans="1:11" ht="15.75" x14ac:dyDescent="0.25">
      <c r="A387" s="7">
        <v>42009</v>
      </c>
      <c r="B387" s="8" t="s">
        <v>43</v>
      </c>
      <c r="C387" s="6">
        <v>2000</v>
      </c>
      <c r="D387" s="27">
        <f>+E387/C387</f>
        <v>3.3210000000000003E-2</v>
      </c>
      <c r="E387" s="8">
        <v>66.42</v>
      </c>
      <c r="F387" s="8"/>
      <c r="G387" s="27"/>
      <c r="H387" s="8"/>
      <c r="I387" s="6">
        <f>+I386+C387</f>
        <v>2000</v>
      </c>
      <c r="J387" s="27">
        <f>+K387/I387</f>
        <v>3.3210000000000003E-2</v>
      </c>
      <c r="K387" s="8">
        <f>+K386+E387</f>
        <v>66.42</v>
      </c>
    </row>
    <row r="388" spans="1:11" ht="15.75" x14ac:dyDescent="0.25">
      <c r="A388" s="67">
        <v>42290</v>
      </c>
      <c r="B388" s="107" t="s">
        <v>343</v>
      </c>
      <c r="C388" s="113"/>
      <c r="D388" s="69"/>
      <c r="E388" s="68"/>
      <c r="F388" s="107">
        <v>1.5</v>
      </c>
      <c r="G388" s="108">
        <f>+J387</f>
        <v>3.3210000000000003E-2</v>
      </c>
      <c r="H388" s="108">
        <f>+G388*F388</f>
        <v>4.9815000000000005E-2</v>
      </c>
      <c r="I388" s="107">
        <f>+I387-F388</f>
        <v>1998.5</v>
      </c>
      <c r="J388" s="108">
        <f>+K388/I388</f>
        <v>3.3210000000000003E-2</v>
      </c>
      <c r="K388" s="108">
        <f>+K387-H388</f>
        <v>66.370185000000006</v>
      </c>
    </row>
    <row r="389" spans="1:11" ht="30" x14ac:dyDescent="0.25">
      <c r="A389" s="307"/>
      <c r="B389" s="309" t="s">
        <v>553</v>
      </c>
      <c r="C389" s="222"/>
      <c r="D389" s="223"/>
      <c r="E389" s="222"/>
      <c r="F389" s="222">
        <v>1.5</v>
      </c>
      <c r="G389" s="223">
        <f>+J388</f>
        <v>3.3210000000000003E-2</v>
      </c>
      <c r="H389" s="310">
        <f>+G389*F389</f>
        <v>4.9815000000000005E-2</v>
      </c>
      <c r="I389" s="311">
        <f>+I388-F389</f>
        <v>1997</v>
      </c>
      <c r="J389" s="223"/>
      <c r="K389" s="310">
        <f>+K388-H389</f>
        <v>66.320370000000011</v>
      </c>
    </row>
    <row r="390" spans="1:11" x14ac:dyDescent="0.25">
      <c r="A390" s="5"/>
      <c r="B390" s="2"/>
      <c r="C390" s="2"/>
      <c r="D390" s="3"/>
      <c r="E390" s="2"/>
      <c r="F390" s="2"/>
      <c r="G390" s="3"/>
      <c r="H390" s="2"/>
      <c r="I390" s="2"/>
      <c r="J390" s="3"/>
      <c r="K390" s="3"/>
    </row>
    <row r="391" spans="1:11" x14ac:dyDescent="0.25">
      <c r="A391" s="5"/>
      <c r="B391" s="2"/>
      <c r="C391" s="2"/>
      <c r="D391" s="3"/>
      <c r="E391" s="2"/>
      <c r="F391" s="2"/>
      <c r="G391" s="3"/>
      <c r="H391" s="3"/>
      <c r="I391" s="2"/>
      <c r="J391" s="3"/>
      <c r="K391" s="3"/>
    </row>
    <row r="394" spans="1:11" ht="15.75" x14ac:dyDescent="0.25">
      <c r="A394" s="456" t="s">
        <v>10</v>
      </c>
      <c r="B394" s="456"/>
      <c r="C394" s="456"/>
      <c r="D394" s="456"/>
      <c r="E394" s="456"/>
      <c r="F394" s="456"/>
      <c r="G394" s="456"/>
      <c r="H394" s="456"/>
      <c r="I394" s="456"/>
      <c r="J394" s="456"/>
      <c r="K394" s="456"/>
    </row>
    <row r="395" spans="1:11" ht="15.75" x14ac:dyDescent="0.25">
      <c r="A395" s="456" t="s">
        <v>11</v>
      </c>
      <c r="B395" s="456"/>
      <c r="C395" s="456"/>
      <c r="D395" s="456"/>
      <c r="E395" s="456"/>
      <c r="F395" s="456"/>
      <c r="G395" s="456"/>
      <c r="H395" s="456"/>
      <c r="I395" s="456"/>
      <c r="J395" s="456"/>
      <c r="K395" s="456"/>
    </row>
    <row r="396" spans="1:11" x14ac:dyDescent="0.25">
      <c r="A396" s="2" t="s">
        <v>8</v>
      </c>
      <c r="B396" s="465" t="s">
        <v>148</v>
      </c>
      <c r="C396" s="466"/>
      <c r="D396" s="466"/>
      <c r="E396" s="467"/>
      <c r="F396" s="9" t="s">
        <v>48</v>
      </c>
      <c r="G396" s="468" t="s">
        <v>49</v>
      </c>
      <c r="H396" s="469"/>
      <c r="I396" s="469"/>
      <c r="J396" s="469"/>
      <c r="K396" s="470"/>
    </row>
    <row r="397" spans="1:11" x14ac:dyDescent="0.25">
      <c r="A397" s="4" t="s">
        <v>9</v>
      </c>
      <c r="B397" s="471" t="s">
        <v>66</v>
      </c>
      <c r="C397" s="471"/>
      <c r="D397" s="471"/>
      <c r="E397" s="471"/>
      <c r="F397" s="11" t="s">
        <v>50</v>
      </c>
      <c r="G397" s="471" t="s">
        <v>73</v>
      </c>
      <c r="H397" s="471"/>
      <c r="I397" s="471"/>
      <c r="J397" s="471"/>
      <c r="K397" s="471"/>
    </row>
    <row r="398" spans="1:11" x14ac:dyDescent="0.25">
      <c r="A398" s="464" t="s">
        <v>0</v>
      </c>
      <c r="B398" s="464" t="s">
        <v>1</v>
      </c>
      <c r="C398" s="464" t="s">
        <v>2</v>
      </c>
      <c r="D398" s="464"/>
      <c r="E398" s="464"/>
      <c r="F398" s="464" t="s">
        <v>3</v>
      </c>
      <c r="G398" s="464"/>
      <c r="H398" s="464"/>
      <c r="I398" s="464" t="s">
        <v>4</v>
      </c>
      <c r="J398" s="464"/>
      <c r="K398" s="464"/>
    </row>
    <row r="399" spans="1:11" x14ac:dyDescent="0.25">
      <c r="A399" s="464"/>
      <c r="B399" s="464"/>
      <c r="C399" s="2" t="s">
        <v>5</v>
      </c>
      <c r="D399" s="3" t="s">
        <v>6</v>
      </c>
      <c r="E399" s="2" t="s">
        <v>7</v>
      </c>
      <c r="F399" s="2" t="s">
        <v>5</v>
      </c>
      <c r="G399" s="3" t="s">
        <v>6</v>
      </c>
      <c r="H399" s="2" t="s">
        <v>7</v>
      </c>
      <c r="I399" s="2" t="s">
        <v>5</v>
      </c>
      <c r="J399" s="3" t="s">
        <v>6</v>
      </c>
      <c r="K399" s="2" t="s">
        <v>7</v>
      </c>
    </row>
    <row r="400" spans="1:11" x14ac:dyDescent="0.25">
      <c r="A400" s="1"/>
      <c r="B400" s="1" t="s">
        <v>42</v>
      </c>
      <c r="C400" s="1"/>
      <c r="D400" s="34"/>
      <c r="E400" s="1"/>
      <c r="F400" s="1"/>
      <c r="G400" s="34"/>
      <c r="H400" s="1"/>
      <c r="I400" s="1">
        <v>0</v>
      </c>
      <c r="J400" s="34">
        <v>0</v>
      </c>
      <c r="K400" s="1">
        <v>0</v>
      </c>
    </row>
    <row r="401" spans="1:11" ht="15.75" x14ac:dyDescent="0.25">
      <c r="A401" s="7">
        <v>42009</v>
      </c>
      <c r="B401" s="8" t="s">
        <v>43</v>
      </c>
      <c r="C401" s="6">
        <v>3000</v>
      </c>
      <c r="D401" s="27">
        <f>+E401/C401</f>
        <v>3.3270000000000001E-2</v>
      </c>
      <c r="E401" s="8">
        <v>99.81</v>
      </c>
      <c r="F401" s="8"/>
      <c r="G401" s="27"/>
      <c r="H401" s="8"/>
      <c r="I401" s="6">
        <f>+I400+C401</f>
        <v>3000</v>
      </c>
      <c r="J401" s="27">
        <f>+K401/I401</f>
        <v>3.3270000000000001E-2</v>
      </c>
      <c r="K401" s="8">
        <f>+K400+E401</f>
        <v>99.81</v>
      </c>
    </row>
    <row r="402" spans="1:11" ht="15.75" x14ac:dyDescent="0.25">
      <c r="A402" s="67">
        <v>42290</v>
      </c>
      <c r="B402" s="107" t="s">
        <v>343</v>
      </c>
      <c r="C402" s="68"/>
      <c r="D402" s="69"/>
      <c r="E402" s="68"/>
      <c r="F402" s="68">
        <v>3</v>
      </c>
      <c r="G402" s="69">
        <f>+J401</f>
        <v>3.3270000000000001E-2</v>
      </c>
      <c r="H402" s="69">
        <f>+G402*F402</f>
        <v>9.981000000000001E-2</v>
      </c>
      <c r="I402" s="68">
        <f>+I401-F402</f>
        <v>2997</v>
      </c>
      <c r="J402" s="69">
        <f>+K402/I402</f>
        <v>3.3270000000000001E-2</v>
      </c>
      <c r="K402" s="69">
        <f>+K401-H402</f>
        <v>99.710189999999997</v>
      </c>
    </row>
    <row r="403" spans="1:11" ht="30" x14ac:dyDescent="0.25">
      <c r="A403" s="307"/>
      <c r="B403" s="309" t="s">
        <v>553</v>
      </c>
      <c r="C403" s="222"/>
      <c r="D403" s="223"/>
      <c r="E403" s="222"/>
      <c r="F403" s="222">
        <v>3</v>
      </c>
      <c r="G403" s="223">
        <f>+J402</f>
        <v>3.3270000000000001E-2</v>
      </c>
      <c r="H403" s="223">
        <f>+G403*F403</f>
        <v>9.981000000000001E-2</v>
      </c>
      <c r="I403" s="222">
        <f>+I402-F403</f>
        <v>2994</v>
      </c>
      <c r="J403" s="223">
        <f>+K403/I403</f>
        <v>3.3269999999999994E-2</v>
      </c>
      <c r="K403" s="223">
        <f>+K402-H403</f>
        <v>99.610379999999992</v>
      </c>
    </row>
    <row r="404" spans="1:11" x14ac:dyDescent="0.25">
      <c r="A404" s="5"/>
      <c r="B404" s="2"/>
      <c r="C404" s="2"/>
      <c r="D404" s="3"/>
      <c r="E404" s="2"/>
      <c r="F404" s="2"/>
      <c r="G404" s="3"/>
      <c r="H404" s="2"/>
      <c r="I404" s="2"/>
      <c r="J404" s="3"/>
      <c r="K404" s="3"/>
    </row>
    <row r="405" spans="1:11" x14ac:dyDescent="0.25">
      <c r="A405" s="5"/>
      <c r="B405" s="2"/>
      <c r="C405" s="2"/>
      <c r="D405" s="3"/>
      <c r="E405" s="2"/>
      <c r="F405" s="2"/>
      <c r="G405" s="3"/>
      <c r="H405" s="3"/>
      <c r="I405" s="2"/>
      <c r="J405" s="3"/>
      <c r="K405" s="3"/>
    </row>
    <row r="408" spans="1:11" ht="15.75" x14ac:dyDescent="0.25">
      <c r="A408" s="456" t="s">
        <v>10</v>
      </c>
      <c r="B408" s="456"/>
      <c r="C408" s="456"/>
      <c r="D408" s="456"/>
      <c r="E408" s="456"/>
      <c r="F408" s="456"/>
      <c r="G408" s="456"/>
      <c r="H408" s="456"/>
      <c r="I408" s="456"/>
      <c r="J408" s="456"/>
      <c r="K408" s="456"/>
    </row>
    <row r="409" spans="1:11" ht="15.75" x14ac:dyDescent="0.25">
      <c r="A409" s="456" t="s">
        <v>11</v>
      </c>
      <c r="B409" s="456"/>
      <c r="C409" s="456"/>
      <c r="D409" s="456"/>
      <c r="E409" s="456"/>
      <c r="F409" s="456"/>
      <c r="G409" s="456"/>
      <c r="H409" s="456"/>
      <c r="I409" s="456"/>
      <c r="J409" s="456"/>
      <c r="K409" s="456"/>
    </row>
    <row r="410" spans="1:11" x14ac:dyDescent="0.25">
      <c r="A410" s="2" t="s">
        <v>8</v>
      </c>
      <c r="B410" s="465" t="s">
        <v>149</v>
      </c>
      <c r="C410" s="466"/>
      <c r="D410" s="466"/>
      <c r="E410" s="467"/>
      <c r="F410" s="9" t="s">
        <v>48</v>
      </c>
      <c r="G410" s="468" t="s">
        <v>49</v>
      </c>
      <c r="H410" s="469"/>
      <c r="I410" s="469"/>
      <c r="J410" s="469"/>
      <c r="K410" s="470"/>
    </row>
    <row r="411" spans="1:11" x14ac:dyDescent="0.25">
      <c r="A411" s="4" t="s">
        <v>9</v>
      </c>
      <c r="B411" s="471" t="s">
        <v>66</v>
      </c>
      <c r="C411" s="471"/>
      <c r="D411" s="471"/>
      <c r="E411" s="471"/>
      <c r="F411" s="11" t="s">
        <v>50</v>
      </c>
      <c r="G411" s="471" t="s">
        <v>73</v>
      </c>
      <c r="H411" s="471"/>
      <c r="I411" s="471"/>
      <c r="J411" s="471"/>
      <c r="K411" s="471"/>
    </row>
    <row r="412" spans="1:11" x14ac:dyDescent="0.25">
      <c r="A412" s="464" t="s">
        <v>0</v>
      </c>
      <c r="B412" s="464" t="s">
        <v>1</v>
      </c>
      <c r="C412" s="464" t="s">
        <v>2</v>
      </c>
      <c r="D412" s="464"/>
      <c r="E412" s="464"/>
      <c r="F412" s="464" t="s">
        <v>3</v>
      </c>
      <c r="G412" s="464"/>
      <c r="H412" s="464"/>
      <c r="I412" s="464" t="s">
        <v>4</v>
      </c>
      <c r="J412" s="464"/>
      <c r="K412" s="464"/>
    </row>
    <row r="413" spans="1:11" x14ac:dyDescent="0.25">
      <c r="A413" s="464"/>
      <c r="B413" s="464"/>
      <c r="C413" s="2" t="s">
        <v>5</v>
      </c>
      <c r="D413" s="3" t="s">
        <v>6</v>
      </c>
      <c r="E413" s="2" t="s">
        <v>7</v>
      </c>
      <c r="F413" s="2" t="s">
        <v>5</v>
      </c>
      <c r="G413" s="3" t="s">
        <v>6</v>
      </c>
      <c r="H413" s="2" t="s">
        <v>7</v>
      </c>
      <c r="I413" s="2" t="s">
        <v>5</v>
      </c>
      <c r="J413" s="3" t="s">
        <v>6</v>
      </c>
      <c r="K413" s="2" t="s">
        <v>7</v>
      </c>
    </row>
    <row r="414" spans="1:11" x14ac:dyDescent="0.25">
      <c r="A414" s="1"/>
      <c r="B414" s="1" t="s">
        <v>42</v>
      </c>
      <c r="C414" s="1"/>
      <c r="D414" s="34"/>
      <c r="E414" s="1"/>
      <c r="F414" s="1"/>
      <c r="G414" s="34"/>
      <c r="H414" s="1"/>
      <c r="I414" s="1">
        <v>0</v>
      </c>
      <c r="J414" s="34">
        <v>0</v>
      </c>
      <c r="K414" s="1">
        <v>0</v>
      </c>
    </row>
    <row r="415" spans="1:11" ht="15.75" x14ac:dyDescent="0.25">
      <c r="A415" s="7">
        <v>42009</v>
      </c>
      <c r="B415" s="8" t="s">
        <v>43</v>
      </c>
      <c r="C415" s="6">
        <v>2000</v>
      </c>
      <c r="D415" s="27">
        <f>+E415/C415</f>
        <v>4.8500000000000001E-2</v>
      </c>
      <c r="E415" s="8">
        <v>97</v>
      </c>
      <c r="F415" s="8"/>
      <c r="G415" s="27"/>
      <c r="H415" s="8"/>
      <c r="I415" s="6">
        <f>+I414+C415</f>
        <v>2000</v>
      </c>
      <c r="J415" s="27">
        <f>+K415/I415</f>
        <v>4.8500000000000001E-2</v>
      </c>
      <c r="K415" s="8">
        <f>+K414+E415</f>
        <v>97</v>
      </c>
    </row>
    <row r="416" spans="1:11" ht="15.75" x14ac:dyDescent="0.25">
      <c r="A416" s="67">
        <v>42290</v>
      </c>
      <c r="B416" s="107" t="s">
        <v>343</v>
      </c>
      <c r="C416" s="64"/>
      <c r="D416" s="65"/>
      <c r="E416" s="64"/>
      <c r="F416" s="64">
        <v>3</v>
      </c>
      <c r="G416" s="65">
        <f>+J415</f>
        <v>4.8500000000000001E-2</v>
      </c>
      <c r="H416" s="65">
        <f>+G416*F416</f>
        <v>0.14550000000000002</v>
      </c>
      <c r="I416" s="64">
        <f>+I415-F416</f>
        <v>1997</v>
      </c>
      <c r="J416" s="65">
        <f>+K416/I416</f>
        <v>4.8500000000000001E-2</v>
      </c>
      <c r="K416" s="65">
        <f>+K415-H416</f>
        <v>96.854500000000002</v>
      </c>
    </row>
    <row r="417" spans="1:11" ht="30" x14ac:dyDescent="0.25">
      <c r="A417" s="307"/>
      <c r="B417" s="309" t="s">
        <v>553</v>
      </c>
      <c r="C417" s="222"/>
      <c r="D417" s="223"/>
      <c r="E417" s="222"/>
      <c r="F417" s="222">
        <v>3</v>
      </c>
      <c r="G417" s="321">
        <f>+J416</f>
        <v>4.8500000000000001E-2</v>
      </c>
      <c r="H417" s="321">
        <f>+G417*F417</f>
        <v>0.14550000000000002</v>
      </c>
      <c r="I417" s="322">
        <f>+I416-F417</f>
        <v>1994</v>
      </c>
      <c r="J417" s="321">
        <f>+K417/I417</f>
        <v>4.8500000000000001E-2</v>
      </c>
      <c r="K417" s="321">
        <f>+K416-H417</f>
        <v>96.709000000000003</v>
      </c>
    </row>
    <row r="418" spans="1:11" x14ac:dyDescent="0.25">
      <c r="A418" s="5"/>
      <c r="B418" s="2"/>
      <c r="C418" s="2"/>
      <c r="D418" s="3"/>
      <c r="E418" s="2"/>
      <c r="F418" s="2"/>
      <c r="G418" s="3"/>
      <c r="H418" s="2"/>
      <c r="I418" s="2"/>
      <c r="J418" s="3"/>
      <c r="K418" s="3"/>
    </row>
    <row r="419" spans="1:11" x14ac:dyDescent="0.25">
      <c r="A419" s="5"/>
      <c r="B419" s="2"/>
      <c r="C419" s="2"/>
      <c r="D419" s="3"/>
      <c r="E419" s="2"/>
      <c r="F419" s="2"/>
      <c r="G419" s="3"/>
      <c r="H419" s="3"/>
      <c r="I419" s="2"/>
      <c r="J419" s="3"/>
      <c r="K419" s="3"/>
    </row>
    <row r="422" spans="1:11" ht="15.75" x14ac:dyDescent="0.25">
      <c r="A422" s="456" t="s">
        <v>10</v>
      </c>
      <c r="B422" s="456"/>
      <c r="C422" s="456"/>
      <c r="D422" s="456"/>
      <c r="E422" s="456"/>
      <c r="F422" s="456"/>
      <c r="G422" s="456"/>
      <c r="H422" s="456"/>
      <c r="I422" s="456"/>
      <c r="J422" s="456"/>
      <c r="K422" s="456"/>
    </row>
    <row r="423" spans="1:11" ht="15.75" x14ac:dyDescent="0.25">
      <c r="A423" s="456" t="s">
        <v>11</v>
      </c>
      <c r="B423" s="456"/>
      <c r="C423" s="456"/>
      <c r="D423" s="456"/>
      <c r="E423" s="456"/>
      <c r="F423" s="456"/>
      <c r="G423" s="456"/>
      <c r="H423" s="456"/>
      <c r="I423" s="456"/>
      <c r="J423" s="456"/>
      <c r="K423" s="456"/>
    </row>
    <row r="424" spans="1:11" x14ac:dyDescent="0.25">
      <c r="A424" s="2" t="s">
        <v>8</v>
      </c>
      <c r="B424" s="465" t="s">
        <v>150</v>
      </c>
      <c r="C424" s="466"/>
      <c r="D424" s="466"/>
      <c r="E424" s="467"/>
      <c r="F424" s="9" t="s">
        <v>48</v>
      </c>
      <c r="G424" s="468" t="s">
        <v>49</v>
      </c>
      <c r="H424" s="469"/>
      <c r="I424" s="469"/>
      <c r="J424" s="469"/>
      <c r="K424" s="470"/>
    </row>
    <row r="425" spans="1:11" x14ac:dyDescent="0.25">
      <c r="A425" s="4" t="s">
        <v>9</v>
      </c>
      <c r="B425" s="471" t="s">
        <v>66</v>
      </c>
      <c r="C425" s="471"/>
      <c r="D425" s="471"/>
      <c r="E425" s="471"/>
      <c r="F425" s="11" t="s">
        <v>50</v>
      </c>
      <c r="G425" s="471" t="s">
        <v>67</v>
      </c>
      <c r="H425" s="471"/>
      <c r="I425" s="471"/>
      <c r="J425" s="471"/>
      <c r="K425" s="471"/>
    </row>
    <row r="426" spans="1:11" x14ac:dyDescent="0.25">
      <c r="A426" s="464" t="s">
        <v>0</v>
      </c>
      <c r="B426" s="464" t="s">
        <v>1</v>
      </c>
      <c r="C426" s="464" t="s">
        <v>2</v>
      </c>
      <c r="D426" s="464"/>
      <c r="E426" s="464"/>
      <c r="F426" s="464" t="s">
        <v>3</v>
      </c>
      <c r="G426" s="464"/>
      <c r="H426" s="464"/>
      <c r="I426" s="464" t="s">
        <v>4</v>
      </c>
      <c r="J426" s="464"/>
      <c r="K426" s="464"/>
    </row>
    <row r="427" spans="1:11" x14ac:dyDescent="0.25">
      <c r="A427" s="464"/>
      <c r="B427" s="464"/>
      <c r="C427" s="2" t="s">
        <v>5</v>
      </c>
      <c r="D427" s="3" t="s">
        <v>6</v>
      </c>
      <c r="E427" s="2" t="s">
        <v>7</v>
      </c>
      <c r="F427" s="2" t="s">
        <v>5</v>
      </c>
      <c r="G427" s="3" t="s">
        <v>6</v>
      </c>
      <c r="H427" s="2" t="s">
        <v>7</v>
      </c>
      <c r="I427" s="2" t="s">
        <v>5</v>
      </c>
      <c r="J427" s="3" t="s">
        <v>6</v>
      </c>
      <c r="K427" s="2" t="s">
        <v>7</v>
      </c>
    </row>
    <row r="428" spans="1:11" x14ac:dyDescent="0.25">
      <c r="A428" s="1"/>
      <c r="B428" s="1" t="s">
        <v>42</v>
      </c>
      <c r="C428" s="1"/>
      <c r="D428" s="34"/>
      <c r="E428" s="1"/>
      <c r="F428" s="1"/>
      <c r="G428" s="34"/>
      <c r="H428" s="1"/>
      <c r="I428" s="1">
        <v>0</v>
      </c>
      <c r="J428" s="34">
        <v>0</v>
      </c>
      <c r="K428" s="1">
        <v>0</v>
      </c>
    </row>
    <row r="429" spans="1:11" ht="15.75" x14ac:dyDescent="0.25">
      <c r="A429" s="7">
        <v>42009</v>
      </c>
      <c r="B429" s="8" t="s">
        <v>43</v>
      </c>
      <c r="C429" s="6">
        <v>500</v>
      </c>
      <c r="D429" s="27">
        <f>+E429/C429</f>
        <v>7.8420000000000004E-2</v>
      </c>
      <c r="E429" s="8">
        <v>39.21</v>
      </c>
      <c r="F429" s="8"/>
      <c r="G429" s="27"/>
      <c r="H429" s="8"/>
      <c r="I429" s="6">
        <f>+I428+C429</f>
        <v>500</v>
      </c>
      <c r="J429" s="27">
        <f>+K429/I429</f>
        <v>7.8420000000000004E-2</v>
      </c>
      <c r="K429" s="8">
        <f>+K428+E429</f>
        <v>39.21</v>
      </c>
    </row>
    <row r="430" spans="1:11" ht="30" x14ac:dyDescent="0.25">
      <c r="A430" s="307"/>
      <c r="B430" s="309" t="s">
        <v>553</v>
      </c>
      <c r="C430" s="222"/>
      <c r="D430" s="223"/>
      <c r="E430" s="222"/>
      <c r="F430" s="222">
        <v>2</v>
      </c>
      <c r="G430" s="223">
        <f>+J429</f>
        <v>7.8420000000000004E-2</v>
      </c>
      <c r="H430" s="222">
        <f>+G430*F430</f>
        <v>0.15684000000000001</v>
      </c>
      <c r="I430" s="222">
        <f>+I429-F430</f>
        <v>498</v>
      </c>
      <c r="J430" s="223">
        <f>+K430/I430</f>
        <v>7.841999999999999E-2</v>
      </c>
      <c r="K430" s="223">
        <f>+K429-H430</f>
        <v>39.053159999999998</v>
      </c>
    </row>
    <row r="431" spans="1:11" x14ac:dyDescent="0.25">
      <c r="A431" s="5"/>
      <c r="B431" s="2"/>
      <c r="C431" s="2"/>
      <c r="D431" s="3"/>
      <c r="E431" s="2"/>
      <c r="F431" s="2"/>
      <c r="G431" s="3"/>
      <c r="H431" s="2"/>
      <c r="I431" s="2"/>
      <c r="J431" s="3"/>
      <c r="K431" s="3"/>
    </row>
    <row r="432" spans="1:11" x14ac:dyDescent="0.25">
      <c r="A432" s="5"/>
      <c r="B432" s="2"/>
      <c r="C432" s="2"/>
      <c r="D432" s="3"/>
      <c r="E432" s="2"/>
      <c r="F432" s="2"/>
      <c r="G432" s="3"/>
      <c r="H432" s="3"/>
      <c r="I432" s="2"/>
      <c r="J432" s="3"/>
      <c r="K432" s="3"/>
    </row>
    <row r="436" spans="1:11" ht="15.75" x14ac:dyDescent="0.25">
      <c r="A436" s="456" t="s">
        <v>10</v>
      </c>
      <c r="B436" s="456"/>
      <c r="C436" s="456"/>
      <c r="D436" s="456"/>
      <c r="E436" s="456"/>
      <c r="F436" s="456"/>
      <c r="G436" s="456"/>
      <c r="H436" s="456"/>
      <c r="I436" s="456"/>
      <c r="J436" s="456"/>
      <c r="K436" s="456"/>
    </row>
    <row r="437" spans="1:11" ht="15.75" x14ac:dyDescent="0.25">
      <c r="A437" s="456" t="s">
        <v>11</v>
      </c>
      <c r="B437" s="456"/>
      <c r="C437" s="456"/>
      <c r="D437" s="456"/>
      <c r="E437" s="456"/>
      <c r="F437" s="456"/>
      <c r="G437" s="456"/>
      <c r="H437" s="456"/>
      <c r="I437" s="456"/>
      <c r="J437" s="456"/>
      <c r="K437" s="456"/>
    </row>
    <row r="438" spans="1:11" x14ac:dyDescent="0.25">
      <c r="A438" s="2" t="s">
        <v>8</v>
      </c>
      <c r="B438" s="465" t="s">
        <v>151</v>
      </c>
      <c r="C438" s="466"/>
      <c r="D438" s="466"/>
      <c r="E438" s="467"/>
      <c r="F438" s="9" t="s">
        <v>48</v>
      </c>
      <c r="G438" s="468" t="s">
        <v>49</v>
      </c>
      <c r="H438" s="469"/>
      <c r="I438" s="469"/>
      <c r="J438" s="469"/>
      <c r="K438" s="470"/>
    </row>
    <row r="439" spans="1:11" x14ac:dyDescent="0.25">
      <c r="A439" s="4" t="s">
        <v>9</v>
      </c>
      <c r="B439" s="471" t="s">
        <v>66</v>
      </c>
      <c r="C439" s="471"/>
      <c r="D439" s="471"/>
      <c r="E439" s="471"/>
      <c r="F439" s="11" t="s">
        <v>50</v>
      </c>
      <c r="G439" s="471" t="s">
        <v>67</v>
      </c>
      <c r="H439" s="471"/>
      <c r="I439" s="471"/>
      <c r="J439" s="471"/>
      <c r="K439" s="471"/>
    </row>
    <row r="440" spans="1:11" x14ac:dyDescent="0.25">
      <c r="A440" s="464" t="s">
        <v>0</v>
      </c>
      <c r="B440" s="464" t="s">
        <v>1</v>
      </c>
      <c r="C440" s="464" t="s">
        <v>2</v>
      </c>
      <c r="D440" s="464"/>
      <c r="E440" s="464"/>
      <c r="F440" s="464" t="s">
        <v>3</v>
      </c>
      <c r="G440" s="464"/>
      <c r="H440" s="464"/>
      <c r="I440" s="464" t="s">
        <v>4</v>
      </c>
      <c r="J440" s="464"/>
      <c r="K440" s="464"/>
    </row>
    <row r="441" spans="1:11" x14ac:dyDescent="0.25">
      <c r="A441" s="464"/>
      <c r="B441" s="464"/>
      <c r="C441" s="2" t="s">
        <v>5</v>
      </c>
      <c r="D441" s="3" t="s">
        <v>6</v>
      </c>
      <c r="E441" s="2" t="s">
        <v>7</v>
      </c>
      <c r="F441" s="2" t="s">
        <v>5</v>
      </c>
      <c r="G441" s="3" t="s">
        <v>6</v>
      </c>
      <c r="H441" s="2" t="s">
        <v>7</v>
      </c>
      <c r="I441" s="2" t="s">
        <v>5</v>
      </c>
      <c r="J441" s="3" t="s">
        <v>6</v>
      </c>
      <c r="K441" s="2" t="s">
        <v>7</v>
      </c>
    </row>
    <row r="442" spans="1:11" x14ac:dyDescent="0.25">
      <c r="A442" s="1"/>
      <c r="B442" s="1" t="s">
        <v>42</v>
      </c>
      <c r="C442" s="1"/>
      <c r="D442" s="34"/>
      <c r="E442" s="1"/>
      <c r="F442" s="1"/>
      <c r="G442" s="34"/>
      <c r="H442" s="1"/>
      <c r="I442" s="1">
        <v>0</v>
      </c>
      <c r="J442" s="34">
        <v>0</v>
      </c>
      <c r="K442" s="1">
        <v>0</v>
      </c>
    </row>
    <row r="443" spans="1:11" ht="15.75" x14ac:dyDescent="0.25">
      <c r="A443" s="7">
        <v>42009</v>
      </c>
      <c r="B443" s="8" t="s">
        <v>43</v>
      </c>
      <c r="C443" s="6">
        <v>500</v>
      </c>
      <c r="D443" s="27">
        <f>+E443/C443</f>
        <v>0.10552</v>
      </c>
      <c r="E443" s="8">
        <v>52.76</v>
      </c>
      <c r="F443" s="8"/>
      <c r="G443" s="27"/>
      <c r="H443" s="8"/>
      <c r="I443" s="6">
        <f>+I442+C443</f>
        <v>500</v>
      </c>
      <c r="J443" s="27">
        <f>+K443/I443</f>
        <v>0.10552</v>
      </c>
      <c r="K443" s="8">
        <f>+K442+E443</f>
        <v>52.76</v>
      </c>
    </row>
    <row r="444" spans="1:11" ht="30" x14ac:dyDescent="0.25">
      <c r="A444" s="307"/>
      <c r="B444" s="309" t="s">
        <v>553</v>
      </c>
      <c r="C444" s="222"/>
      <c r="D444" s="223"/>
      <c r="E444" s="222"/>
      <c r="F444" s="222">
        <v>2</v>
      </c>
      <c r="G444" s="223">
        <f>+J443</f>
        <v>0.10552</v>
      </c>
      <c r="H444" s="223">
        <f>+G444*F444</f>
        <v>0.21104000000000001</v>
      </c>
      <c r="I444" s="222">
        <f>+I443-F444</f>
        <v>498</v>
      </c>
      <c r="J444" s="223">
        <f>+K444/I444</f>
        <v>0.10552</v>
      </c>
      <c r="K444" s="223">
        <f>+K443-H444</f>
        <v>52.548960000000001</v>
      </c>
    </row>
    <row r="445" spans="1:11" x14ac:dyDescent="0.25">
      <c r="A445" s="5"/>
      <c r="B445" s="2"/>
      <c r="C445" s="2"/>
      <c r="D445" s="3"/>
      <c r="E445" s="2"/>
      <c r="F445" s="2"/>
      <c r="G445" s="3"/>
      <c r="H445" s="2"/>
      <c r="I445" s="2"/>
      <c r="J445" s="3"/>
      <c r="K445" s="3"/>
    </row>
    <row r="446" spans="1:11" x14ac:dyDescent="0.25">
      <c r="A446" s="5"/>
      <c r="B446" s="2"/>
      <c r="C446" s="2"/>
      <c r="D446" s="3"/>
      <c r="E446" s="2"/>
      <c r="F446" s="2"/>
      <c r="G446" s="3"/>
      <c r="H446" s="3"/>
      <c r="I446" s="2"/>
      <c r="J446" s="3"/>
      <c r="K446" s="3"/>
    </row>
    <row r="449" spans="1:11" ht="15.75" x14ac:dyDescent="0.25">
      <c r="A449" s="456" t="s">
        <v>10</v>
      </c>
      <c r="B449" s="456"/>
      <c r="C449" s="456"/>
      <c r="D449" s="456"/>
      <c r="E449" s="456"/>
      <c r="F449" s="456"/>
      <c r="G449" s="456"/>
      <c r="H449" s="456"/>
      <c r="I449" s="456"/>
      <c r="J449" s="456"/>
      <c r="K449" s="456"/>
    </row>
    <row r="450" spans="1:11" ht="15.75" x14ac:dyDescent="0.25">
      <c r="A450" s="456" t="s">
        <v>11</v>
      </c>
      <c r="B450" s="456"/>
      <c r="C450" s="456"/>
      <c r="D450" s="456"/>
      <c r="E450" s="456"/>
      <c r="F450" s="456"/>
      <c r="G450" s="456"/>
      <c r="H450" s="456"/>
      <c r="I450" s="456"/>
      <c r="J450" s="456"/>
      <c r="K450" s="456"/>
    </row>
    <row r="451" spans="1:11" x14ac:dyDescent="0.25">
      <c r="A451" s="2" t="s">
        <v>8</v>
      </c>
      <c r="B451" s="465" t="s">
        <v>152</v>
      </c>
      <c r="C451" s="466"/>
      <c r="D451" s="466"/>
      <c r="E451" s="467"/>
      <c r="F451" s="9" t="s">
        <v>48</v>
      </c>
      <c r="G451" s="468" t="s">
        <v>49</v>
      </c>
      <c r="H451" s="469"/>
      <c r="I451" s="469"/>
      <c r="J451" s="469"/>
      <c r="K451" s="470"/>
    </row>
    <row r="452" spans="1:11" x14ac:dyDescent="0.25">
      <c r="A452" s="4" t="s">
        <v>9</v>
      </c>
      <c r="B452" s="471" t="s">
        <v>66</v>
      </c>
      <c r="C452" s="471"/>
      <c r="D452" s="471"/>
      <c r="E452" s="471"/>
      <c r="F452" s="11" t="s">
        <v>50</v>
      </c>
      <c r="G452" s="471" t="s">
        <v>652</v>
      </c>
      <c r="H452" s="471"/>
      <c r="I452" s="471"/>
      <c r="J452" s="471"/>
      <c r="K452" s="471"/>
    </row>
    <row r="453" spans="1:11" x14ac:dyDescent="0.25">
      <c r="A453" s="464" t="s">
        <v>0</v>
      </c>
      <c r="B453" s="464" t="s">
        <v>1</v>
      </c>
      <c r="C453" s="464" t="s">
        <v>2</v>
      </c>
      <c r="D453" s="464"/>
      <c r="E453" s="464"/>
      <c r="F453" s="464" t="s">
        <v>3</v>
      </c>
      <c r="G453" s="464"/>
      <c r="H453" s="464"/>
      <c r="I453" s="464" t="s">
        <v>4</v>
      </c>
      <c r="J453" s="464"/>
      <c r="K453" s="464"/>
    </row>
    <row r="454" spans="1:11" x14ac:dyDescent="0.25">
      <c r="A454" s="464"/>
      <c r="B454" s="464"/>
      <c r="C454" s="2" t="s">
        <v>5</v>
      </c>
      <c r="D454" s="3" t="s">
        <v>6</v>
      </c>
      <c r="E454" s="2" t="s">
        <v>7</v>
      </c>
      <c r="F454" s="2" t="s">
        <v>5</v>
      </c>
      <c r="G454" s="3" t="s">
        <v>6</v>
      </c>
      <c r="H454" s="2" t="s">
        <v>7</v>
      </c>
      <c r="I454" s="2" t="s">
        <v>5</v>
      </c>
      <c r="J454" s="3" t="s">
        <v>6</v>
      </c>
      <c r="K454" s="2" t="s">
        <v>7</v>
      </c>
    </row>
    <row r="455" spans="1:11" x14ac:dyDescent="0.25">
      <c r="A455" s="1"/>
      <c r="B455" s="1" t="s">
        <v>42</v>
      </c>
      <c r="C455" s="1"/>
      <c r="D455" s="34"/>
      <c r="E455" s="1"/>
      <c r="F455" s="1"/>
      <c r="G455" s="34"/>
      <c r="H455" s="1"/>
      <c r="I455" s="1">
        <v>0</v>
      </c>
      <c r="J455" s="34">
        <v>0</v>
      </c>
      <c r="K455" s="1">
        <v>0</v>
      </c>
    </row>
    <row r="456" spans="1:11" ht="15.75" x14ac:dyDescent="0.25">
      <c r="A456" s="7">
        <v>42009</v>
      </c>
      <c r="B456" s="8" t="s">
        <v>43</v>
      </c>
      <c r="C456" s="6">
        <v>750</v>
      </c>
      <c r="D456" s="27">
        <f>+E456/C456</f>
        <v>0.08</v>
      </c>
      <c r="E456" s="8">
        <v>60</v>
      </c>
      <c r="F456" s="8"/>
      <c r="G456" s="27"/>
      <c r="H456" s="8"/>
      <c r="I456" s="6">
        <f>+I455+C456</f>
        <v>750</v>
      </c>
      <c r="J456" s="27">
        <f>+K456/I456</f>
        <v>0.08</v>
      </c>
      <c r="K456" s="8">
        <f>+K455+E456</f>
        <v>60</v>
      </c>
    </row>
    <row r="457" spans="1:11" ht="30" x14ac:dyDescent="0.25">
      <c r="A457" s="307"/>
      <c r="B457" s="309" t="s">
        <v>553</v>
      </c>
      <c r="C457" s="222"/>
      <c r="D457" s="223"/>
      <c r="E457" s="222"/>
      <c r="F457" s="222">
        <v>2.5</v>
      </c>
      <c r="G457" s="223">
        <f>+J456</f>
        <v>0.08</v>
      </c>
      <c r="H457" s="345">
        <f>+G457*F457</f>
        <v>0.2</v>
      </c>
      <c r="I457" s="222">
        <f>+I456-F457</f>
        <v>747.5</v>
      </c>
      <c r="J457" s="342">
        <f>+K457/I457</f>
        <v>0.08</v>
      </c>
      <c r="K457" s="223">
        <f>+K456-H457</f>
        <v>59.8</v>
      </c>
    </row>
    <row r="458" spans="1:11" x14ac:dyDescent="0.25">
      <c r="A458" s="5"/>
      <c r="B458" s="2"/>
      <c r="C458" s="2"/>
      <c r="D458" s="3"/>
      <c r="E458" s="2"/>
      <c r="F458" s="2"/>
      <c r="G458" s="3"/>
      <c r="H458" s="2"/>
      <c r="I458" s="2"/>
      <c r="J458" s="3"/>
      <c r="K458" s="3"/>
    </row>
    <row r="459" spans="1:11" x14ac:dyDescent="0.25">
      <c r="A459" s="5"/>
      <c r="B459" s="2"/>
      <c r="C459" s="2"/>
      <c r="D459" s="3"/>
      <c r="E459" s="2"/>
      <c r="F459" s="2"/>
      <c r="G459" s="3"/>
      <c r="H459" s="3"/>
      <c r="I459" s="2"/>
      <c r="J459" s="3"/>
      <c r="K459" s="3"/>
    </row>
    <row r="462" spans="1:11" ht="15.75" x14ac:dyDescent="0.25">
      <c r="A462" s="456" t="s">
        <v>10</v>
      </c>
      <c r="B462" s="456"/>
      <c r="C462" s="456"/>
      <c r="D462" s="456"/>
      <c r="E462" s="456"/>
      <c r="F462" s="456"/>
      <c r="G462" s="456"/>
      <c r="H462" s="456"/>
      <c r="I462" s="456"/>
      <c r="J462" s="456"/>
      <c r="K462" s="456"/>
    </row>
    <row r="463" spans="1:11" ht="15.75" x14ac:dyDescent="0.25">
      <c r="A463" s="456" t="s">
        <v>11</v>
      </c>
      <c r="B463" s="456"/>
      <c r="C463" s="456"/>
      <c r="D463" s="456"/>
      <c r="E463" s="456"/>
      <c r="F463" s="456"/>
      <c r="G463" s="456"/>
      <c r="H463" s="456"/>
      <c r="I463" s="456"/>
      <c r="J463" s="456"/>
      <c r="K463" s="456"/>
    </row>
    <row r="464" spans="1:11" x14ac:dyDescent="0.25">
      <c r="A464" s="2" t="s">
        <v>8</v>
      </c>
      <c r="B464" s="465" t="s">
        <v>153</v>
      </c>
      <c r="C464" s="466"/>
      <c r="D464" s="466"/>
      <c r="E464" s="467"/>
      <c r="F464" s="9" t="s">
        <v>48</v>
      </c>
      <c r="G464" s="468" t="s">
        <v>49</v>
      </c>
      <c r="H464" s="469"/>
      <c r="I464" s="469"/>
      <c r="J464" s="469"/>
      <c r="K464" s="470"/>
    </row>
    <row r="465" spans="1:11" x14ac:dyDescent="0.25">
      <c r="A465" s="4" t="s">
        <v>9</v>
      </c>
      <c r="B465" s="471" t="s">
        <v>66</v>
      </c>
      <c r="C465" s="471"/>
      <c r="D465" s="471"/>
      <c r="E465" s="471"/>
      <c r="F465" s="11" t="s">
        <v>50</v>
      </c>
      <c r="G465" s="471" t="s">
        <v>73</v>
      </c>
      <c r="H465" s="471"/>
      <c r="I465" s="471"/>
      <c r="J465" s="471"/>
      <c r="K465" s="471"/>
    </row>
    <row r="466" spans="1:11" x14ac:dyDescent="0.25">
      <c r="A466" s="464" t="s">
        <v>0</v>
      </c>
      <c r="B466" s="464" t="s">
        <v>1</v>
      </c>
      <c r="C466" s="464" t="s">
        <v>2</v>
      </c>
      <c r="D466" s="464"/>
      <c r="E466" s="464"/>
      <c r="F466" s="464" t="s">
        <v>3</v>
      </c>
      <c r="G466" s="464"/>
      <c r="H466" s="464"/>
      <c r="I466" s="464" t="s">
        <v>4</v>
      </c>
      <c r="J466" s="464"/>
      <c r="K466" s="464"/>
    </row>
    <row r="467" spans="1:11" x14ac:dyDescent="0.25">
      <c r="A467" s="464"/>
      <c r="B467" s="464"/>
      <c r="C467" s="2" t="s">
        <v>5</v>
      </c>
      <c r="D467" s="3" t="s">
        <v>6</v>
      </c>
      <c r="E467" s="2" t="s">
        <v>7</v>
      </c>
      <c r="F467" s="2" t="s">
        <v>5</v>
      </c>
      <c r="G467" s="3" t="s">
        <v>6</v>
      </c>
      <c r="H467" s="2" t="s">
        <v>7</v>
      </c>
      <c r="I467" s="2" t="s">
        <v>5</v>
      </c>
      <c r="J467" s="3" t="s">
        <v>6</v>
      </c>
      <c r="K467" s="2" t="s">
        <v>7</v>
      </c>
    </row>
    <row r="468" spans="1:11" x14ac:dyDescent="0.25">
      <c r="A468" s="1"/>
      <c r="B468" s="1" t="s">
        <v>42</v>
      </c>
      <c r="C468" s="1"/>
      <c r="D468" s="34"/>
      <c r="E468" s="1"/>
      <c r="F468" s="1"/>
      <c r="G468" s="34"/>
      <c r="H468" s="1"/>
      <c r="I468" s="1">
        <v>0</v>
      </c>
      <c r="J468" s="34">
        <v>0</v>
      </c>
      <c r="K468" s="1">
        <v>0</v>
      </c>
    </row>
    <row r="469" spans="1:11" ht="15.75" x14ac:dyDescent="0.25">
      <c r="A469" s="7">
        <v>42009</v>
      </c>
      <c r="B469" s="8" t="s">
        <v>43</v>
      </c>
      <c r="C469" s="6">
        <v>1000</v>
      </c>
      <c r="D469" s="27">
        <f>+E469/C469</f>
        <v>4.2939999999999999E-2</v>
      </c>
      <c r="E469" s="8">
        <v>42.94</v>
      </c>
      <c r="F469" s="8"/>
      <c r="G469" s="27"/>
      <c r="H469" s="8"/>
      <c r="I469" s="6">
        <f>+I468+C469</f>
        <v>1000</v>
      </c>
      <c r="J469" s="27">
        <f>+K469/I469</f>
        <v>4.2939999999999999E-2</v>
      </c>
      <c r="K469" s="8">
        <f>+K468+E469</f>
        <v>42.94</v>
      </c>
    </row>
    <row r="470" spans="1:11" ht="30" x14ac:dyDescent="0.25">
      <c r="A470" s="307"/>
      <c r="B470" s="309" t="s">
        <v>553</v>
      </c>
      <c r="C470" s="222"/>
      <c r="D470" s="223"/>
      <c r="E470" s="222"/>
      <c r="F470" s="222">
        <v>3</v>
      </c>
      <c r="G470" s="223">
        <f>+J469</f>
        <v>4.2939999999999999E-2</v>
      </c>
      <c r="H470" s="223">
        <f>+G470*F470</f>
        <v>0.12881999999999999</v>
      </c>
      <c r="I470" s="222">
        <f>+I469-F470</f>
        <v>997</v>
      </c>
      <c r="J470" s="342">
        <f>+K470/I470</f>
        <v>4.2939999999999999E-2</v>
      </c>
      <c r="K470" s="223">
        <f>+K469-H470</f>
        <v>42.81118</v>
      </c>
    </row>
    <row r="471" spans="1:11" x14ac:dyDescent="0.25">
      <c r="A471" s="5"/>
      <c r="B471" s="2"/>
      <c r="C471" s="2"/>
      <c r="D471" s="3"/>
      <c r="E471" s="2"/>
      <c r="F471" s="2"/>
      <c r="G471" s="3"/>
      <c r="H471" s="2"/>
      <c r="I471" s="2"/>
      <c r="J471" s="3"/>
      <c r="K471" s="3"/>
    </row>
    <row r="472" spans="1:11" x14ac:dyDescent="0.25">
      <c r="A472" s="5"/>
      <c r="B472" s="2"/>
      <c r="C472" s="2"/>
      <c r="D472" s="3"/>
      <c r="E472" s="2"/>
      <c r="F472" s="2"/>
      <c r="G472" s="3"/>
      <c r="H472" s="3"/>
      <c r="I472" s="2"/>
      <c r="J472" s="3"/>
      <c r="K472" s="3"/>
    </row>
    <row r="475" spans="1:11" ht="15.75" x14ac:dyDescent="0.25">
      <c r="A475" s="456" t="s">
        <v>10</v>
      </c>
      <c r="B475" s="456"/>
      <c r="C475" s="456"/>
      <c r="D475" s="456"/>
      <c r="E475" s="456"/>
      <c r="F475" s="456"/>
      <c r="G475" s="456"/>
      <c r="H475" s="456"/>
      <c r="I475" s="456"/>
      <c r="J475" s="456"/>
      <c r="K475" s="456"/>
    </row>
    <row r="476" spans="1:11" ht="15.75" x14ac:dyDescent="0.25">
      <c r="A476" s="456" t="s">
        <v>11</v>
      </c>
      <c r="B476" s="456"/>
      <c r="C476" s="456"/>
      <c r="D476" s="456"/>
      <c r="E476" s="456"/>
      <c r="F476" s="456"/>
      <c r="G476" s="456"/>
      <c r="H476" s="456"/>
      <c r="I476" s="456"/>
      <c r="J476" s="456"/>
      <c r="K476" s="456"/>
    </row>
    <row r="477" spans="1:11" x14ac:dyDescent="0.25">
      <c r="A477" s="2" t="s">
        <v>8</v>
      </c>
      <c r="B477" s="465" t="s">
        <v>154</v>
      </c>
      <c r="C477" s="466"/>
      <c r="D477" s="466"/>
      <c r="E477" s="467"/>
      <c r="F477" s="9" t="s">
        <v>48</v>
      </c>
      <c r="G477" s="468" t="s">
        <v>49</v>
      </c>
      <c r="H477" s="469"/>
      <c r="I477" s="469"/>
      <c r="J477" s="469"/>
      <c r="K477" s="470"/>
    </row>
    <row r="478" spans="1:11" x14ac:dyDescent="0.25">
      <c r="A478" s="4" t="s">
        <v>9</v>
      </c>
      <c r="B478" s="471" t="s">
        <v>66</v>
      </c>
      <c r="C478" s="471"/>
      <c r="D478" s="471"/>
      <c r="E478" s="471"/>
      <c r="F478" s="11" t="s">
        <v>50</v>
      </c>
      <c r="G478" s="471" t="s">
        <v>73</v>
      </c>
      <c r="H478" s="471"/>
      <c r="I478" s="471"/>
      <c r="J478" s="471"/>
      <c r="K478" s="471"/>
    </row>
    <row r="479" spans="1:11" x14ac:dyDescent="0.25">
      <c r="A479" s="464" t="s">
        <v>0</v>
      </c>
      <c r="B479" s="464" t="s">
        <v>1</v>
      </c>
      <c r="C479" s="464" t="s">
        <v>2</v>
      </c>
      <c r="D479" s="464"/>
      <c r="E479" s="464"/>
      <c r="F479" s="464" t="s">
        <v>3</v>
      </c>
      <c r="G479" s="464"/>
      <c r="H479" s="464"/>
      <c r="I479" s="464" t="s">
        <v>4</v>
      </c>
      <c r="J479" s="464"/>
      <c r="K479" s="464"/>
    </row>
    <row r="480" spans="1:11" x14ac:dyDescent="0.25">
      <c r="A480" s="464"/>
      <c r="B480" s="464"/>
      <c r="C480" s="2" t="s">
        <v>5</v>
      </c>
      <c r="D480" s="3" t="s">
        <v>6</v>
      </c>
      <c r="E480" s="2" t="s">
        <v>7</v>
      </c>
      <c r="F480" s="2" t="s">
        <v>5</v>
      </c>
      <c r="G480" s="3" t="s">
        <v>6</v>
      </c>
      <c r="H480" s="2" t="s">
        <v>7</v>
      </c>
      <c r="I480" s="2" t="s">
        <v>5</v>
      </c>
      <c r="J480" s="3" t="s">
        <v>6</v>
      </c>
      <c r="K480" s="2" t="s">
        <v>7</v>
      </c>
    </row>
    <row r="481" spans="1:11" x14ac:dyDescent="0.25">
      <c r="A481" s="1"/>
      <c r="B481" s="1" t="s">
        <v>42</v>
      </c>
      <c r="C481" s="1"/>
      <c r="D481" s="34"/>
      <c r="E481" s="1"/>
      <c r="F481" s="1"/>
      <c r="G481" s="34"/>
      <c r="H481" s="1"/>
      <c r="I481" s="1">
        <v>0</v>
      </c>
      <c r="J481" s="34">
        <v>0</v>
      </c>
      <c r="K481" s="1">
        <v>0</v>
      </c>
    </row>
    <row r="482" spans="1:11" ht="15.75" x14ac:dyDescent="0.25">
      <c r="A482" s="7">
        <v>42009</v>
      </c>
      <c r="B482" s="8" t="s">
        <v>43</v>
      </c>
      <c r="C482" s="6">
        <v>1000</v>
      </c>
      <c r="D482" s="27">
        <f>+E482/C482</f>
        <v>2.9600000000000001E-2</v>
      </c>
      <c r="E482" s="8">
        <v>29.6</v>
      </c>
      <c r="F482" s="8"/>
      <c r="G482" s="27"/>
      <c r="H482" s="8"/>
      <c r="I482" s="6">
        <f>+I481+C482</f>
        <v>1000</v>
      </c>
      <c r="J482" s="27">
        <f>+K482/I482</f>
        <v>2.9600000000000001E-2</v>
      </c>
      <c r="K482" s="8">
        <f>+K481+E482</f>
        <v>29.6</v>
      </c>
    </row>
    <row r="483" spans="1:11" ht="30" x14ac:dyDescent="0.25">
      <c r="A483" s="307"/>
      <c r="B483" s="309" t="s">
        <v>553</v>
      </c>
      <c r="C483" s="222"/>
      <c r="D483" s="223"/>
      <c r="E483" s="222"/>
      <c r="F483" s="222">
        <v>2</v>
      </c>
      <c r="G483" s="223">
        <f>+J482</f>
        <v>2.9600000000000001E-2</v>
      </c>
      <c r="H483" s="223">
        <f>+G483*F483</f>
        <v>5.9200000000000003E-2</v>
      </c>
      <c r="I483" s="222">
        <f>+I482-F483</f>
        <v>998</v>
      </c>
      <c r="J483" s="342">
        <f>+K483/I483</f>
        <v>2.965931863727455E-2</v>
      </c>
      <c r="K483" s="223">
        <f>+K482</f>
        <v>29.6</v>
      </c>
    </row>
    <row r="484" spans="1:11" x14ac:dyDescent="0.25">
      <c r="A484" s="5"/>
      <c r="B484" s="2"/>
      <c r="C484" s="2"/>
      <c r="D484" s="3"/>
      <c r="E484" s="2"/>
      <c r="F484" s="2"/>
      <c r="G484" s="3"/>
      <c r="H484" s="2"/>
      <c r="I484" s="2"/>
      <c r="J484" s="3"/>
      <c r="K484" s="3"/>
    </row>
    <row r="485" spans="1:11" x14ac:dyDescent="0.25">
      <c r="A485" s="5"/>
      <c r="B485" s="2"/>
      <c r="C485" s="2"/>
      <c r="D485" s="3"/>
      <c r="E485" s="2"/>
      <c r="F485" s="2"/>
      <c r="G485" s="3"/>
      <c r="H485" s="3"/>
      <c r="I485" s="2"/>
      <c r="J485" s="3"/>
      <c r="K485" s="3"/>
    </row>
    <row r="488" spans="1:11" ht="15.75" x14ac:dyDescent="0.25">
      <c r="A488" s="456" t="s">
        <v>10</v>
      </c>
      <c r="B488" s="456"/>
      <c r="C488" s="456"/>
      <c r="D488" s="456"/>
      <c r="E488" s="456"/>
      <c r="F488" s="456"/>
      <c r="G488" s="456"/>
      <c r="H488" s="456"/>
      <c r="I488" s="456"/>
      <c r="J488" s="456"/>
      <c r="K488" s="456"/>
    </row>
    <row r="489" spans="1:11" ht="15.75" x14ac:dyDescent="0.25">
      <c r="A489" s="456" t="s">
        <v>11</v>
      </c>
      <c r="B489" s="456"/>
      <c r="C489" s="456"/>
      <c r="D489" s="456"/>
      <c r="E489" s="456"/>
      <c r="F489" s="456"/>
      <c r="G489" s="456"/>
      <c r="H489" s="456"/>
      <c r="I489" s="456"/>
      <c r="J489" s="456"/>
      <c r="K489" s="456"/>
    </row>
    <row r="490" spans="1:11" x14ac:dyDescent="0.25">
      <c r="A490" s="2" t="s">
        <v>8</v>
      </c>
      <c r="B490" s="465" t="s">
        <v>155</v>
      </c>
      <c r="C490" s="466"/>
      <c r="D490" s="466"/>
      <c r="E490" s="467"/>
      <c r="F490" s="9" t="s">
        <v>48</v>
      </c>
      <c r="G490" s="468" t="s">
        <v>49</v>
      </c>
      <c r="H490" s="469"/>
      <c r="I490" s="469"/>
      <c r="J490" s="469"/>
      <c r="K490" s="470"/>
    </row>
    <row r="491" spans="1:11" x14ac:dyDescent="0.25">
      <c r="A491" s="4" t="s">
        <v>9</v>
      </c>
      <c r="B491" s="471" t="s">
        <v>77</v>
      </c>
      <c r="C491" s="471"/>
      <c r="D491" s="471"/>
      <c r="E491" s="471"/>
      <c r="F491" s="11" t="s">
        <v>50</v>
      </c>
      <c r="G491" s="471" t="s">
        <v>73</v>
      </c>
      <c r="H491" s="471"/>
      <c r="I491" s="471"/>
      <c r="J491" s="471"/>
      <c r="K491" s="471"/>
    </row>
    <row r="492" spans="1:11" x14ac:dyDescent="0.25">
      <c r="A492" s="464" t="s">
        <v>0</v>
      </c>
      <c r="B492" s="464" t="s">
        <v>1</v>
      </c>
      <c r="C492" s="464" t="s">
        <v>2</v>
      </c>
      <c r="D492" s="464"/>
      <c r="E492" s="464"/>
      <c r="F492" s="464" t="s">
        <v>3</v>
      </c>
      <c r="G492" s="464"/>
      <c r="H492" s="464"/>
      <c r="I492" s="464" t="s">
        <v>4</v>
      </c>
      <c r="J492" s="464"/>
      <c r="K492" s="464"/>
    </row>
    <row r="493" spans="1:11" x14ac:dyDescent="0.25">
      <c r="A493" s="464"/>
      <c r="B493" s="464"/>
      <c r="C493" s="2" t="s">
        <v>5</v>
      </c>
      <c r="D493" s="3" t="s">
        <v>6</v>
      </c>
      <c r="E493" s="2" t="s">
        <v>7</v>
      </c>
      <c r="F493" s="2" t="s">
        <v>5</v>
      </c>
      <c r="G493" s="3" t="s">
        <v>6</v>
      </c>
      <c r="H493" s="2" t="s">
        <v>7</v>
      </c>
      <c r="I493" s="2" t="s">
        <v>5</v>
      </c>
      <c r="J493" s="3" t="s">
        <v>6</v>
      </c>
      <c r="K493" s="2" t="s">
        <v>7</v>
      </c>
    </row>
    <row r="494" spans="1:11" x14ac:dyDescent="0.25">
      <c r="A494" s="1"/>
      <c r="B494" s="1" t="s">
        <v>42</v>
      </c>
      <c r="C494" s="1"/>
      <c r="D494" s="34"/>
      <c r="E494" s="1"/>
      <c r="F494" s="1"/>
      <c r="G494" s="34"/>
      <c r="H494" s="1"/>
      <c r="I494" s="1">
        <v>0</v>
      </c>
      <c r="J494" s="34">
        <v>0</v>
      </c>
      <c r="K494" s="1">
        <v>0</v>
      </c>
    </row>
    <row r="495" spans="1:11" ht="15.75" x14ac:dyDescent="0.25">
      <c r="A495" s="7">
        <v>42009</v>
      </c>
      <c r="B495" s="8" t="s">
        <v>43</v>
      </c>
      <c r="C495" s="6">
        <v>1000</v>
      </c>
      <c r="D495" s="27">
        <f>+E495/C495</f>
        <v>2.9600000000000001E-2</v>
      </c>
      <c r="E495" s="8">
        <v>29.6</v>
      </c>
      <c r="F495" s="8"/>
      <c r="G495" s="27"/>
      <c r="H495" s="8"/>
      <c r="I495" s="6">
        <f>+I494+C495</f>
        <v>1000</v>
      </c>
      <c r="J495" s="27">
        <f>+K495/I495</f>
        <v>2.9600000000000001E-2</v>
      </c>
      <c r="K495" s="8">
        <f>+K494+E495</f>
        <v>29.6</v>
      </c>
    </row>
    <row r="496" spans="1:11" ht="30" x14ac:dyDescent="0.25">
      <c r="A496" s="5"/>
      <c r="B496" s="309" t="s">
        <v>553</v>
      </c>
      <c r="C496" s="222"/>
      <c r="D496" s="223"/>
      <c r="E496" s="222"/>
      <c r="F496" s="222">
        <v>4</v>
      </c>
      <c r="G496" s="223">
        <f>+J495</f>
        <v>2.9600000000000001E-2</v>
      </c>
      <c r="H496" s="223">
        <f>+G496*F496</f>
        <v>0.11840000000000001</v>
      </c>
      <c r="I496" s="222">
        <f>+I495-F496</f>
        <v>996</v>
      </c>
      <c r="J496" s="342">
        <f>+K496/I496</f>
        <v>2.9600000000000001E-2</v>
      </c>
      <c r="K496" s="223">
        <f>+K495-H496</f>
        <v>29.4816</v>
      </c>
    </row>
    <row r="497" spans="1:11" x14ac:dyDescent="0.25">
      <c r="A497" s="5"/>
      <c r="B497" s="2"/>
      <c r="C497" s="2"/>
      <c r="D497" s="3"/>
      <c r="E497" s="2"/>
      <c r="F497" s="2"/>
      <c r="G497" s="3"/>
      <c r="H497" s="2"/>
      <c r="I497" s="2"/>
      <c r="J497" s="3"/>
      <c r="K497" s="3"/>
    </row>
    <row r="498" spans="1:11" x14ac:dyDescent="0.25">
      <c r="A498" s="5"/>
      <c r="B498" s="2"/>
      <c r="C498" s="2"/>
      <c r="D498" s="3"/>
      <c r="E498" s="2"/>
      <c r="F498" s="2"/>
      <c r="G498" s="3"/>
      <c r="H498" s="3"/>
      <c r="I498" s="2"/>
      <c r="J498" s="3"/>
      <c r="K498" s="3"/>
    </row>
    <row r="501" spans="1:11" ht="15.75" x14ac:dyDescent="0.25">
      <c r="A501" s="456" t="s">
        <v>10</v>
      </c>
      <c r="B501" s="456"/>
      <c r="C501" s="456"/>
      <c r="D501" s="456"/>
      <c r="E501" s="456"/>
      <c r="F501" s="456"/>
      <c r="G501" s="456"/>
      <c r="H501" s="456"/>
      <c r="I501" s="456"/>
      <c r="J501" s="456"/>
      <c r="K501" s="456"/>
    </row>
    <row r="502" spans="1:11" ht="15.75" x14ac:dyDescent="0.25">
      <c r="A502" s="456" t="s">
        <v>11</v>
      </c>
      <c r="B502" s="456"/>
      <c r="C502" s="456"/>
      <c r="D502" s="456"/>
      <c r="E502" s="456"/>
      <c r="F502" s="456"/>
      <c r="G502" s="456"/>
      <c r="H502" s="456"/>
      <c r="I502" s="456"/>
      <c r="J502" s="456"/>
      <c r="K502" s="456"/>
    </row>
    <row r="503" spans="1:11" x14ac:dyDescent="0.25">
      <c r="A503" s="2" t="s">
        <v>8</v>
      </c>
      <c r="B503" s="465" t="s">
        <v>156</v>
      </c>
      <c r="C503" s="466"/>
      <c r="D503" s="466"/>
      <c r="E503" s="467"/>
      <c r="F503" s="9" t="s">
        <v>48</v>
      </c>
      <c r="G503" s="468" t="s">
        <v>49</v>
      </c>
      <c r="H503" s="469"/>
      <c r="I503" s="469"/>
      <c r="J503" s="469"/>
      <c r="K503" s="470"/>
    </row>
    <row r="504" spans="1:11" x14ac:dyDescent="0.25">
      <c r="A504" s="4" t="s">
        <v>9</v>
      </c>
      <c r="B504" s="471" t="s">
        <v>66</v>
      </c>
      <c r="C504" s="471"/>
      <c r="D504" s="471"/>
      <c r="E504" s="471"/>
      <c r="F504" s="11" t="s">
        <v>50</v>
      </c>
      <c r="G504" s="471" t="s">
        <v>73</v>
      </c>
      <c r="H504" s="471"/>
      <c r="I504" s="471"/>
      <c r="J504" s="471"/>
      <c r="K504" s="471"/>
    </row>
    <row r="505" spans="1:11" x14ac:dyDescent="0.25">
      <c r="A505" s="464" t="s">
        <v>0</v>
      </c>
      <c r="B505" s="464" t="s">
        <v>1</v>
      </c>
      <c r="C505" s="464" t="s">
        <v>2</v>
      </c>
      <c r="D505" s="464"/>
      <c r="E505" s="464"/>
      <c r="F505" s="464" t="s">
        <v>3</v>
      </c>
      <c r="G505" s="464"/>
      <c r="H505" s="464"/>
      <c r="I505" s="464" t="s">
        <v>4</v>
      </c>
      <c r="J505" s="464"/>
      <c r="K505" s="464"/>
    </row>
    <row r="506" spans="1:11" x14ac:dyDescent="0.25">
      <c r="A506" s="464"/>
      <c r="B506" s="464"/>
      <c r="C506" s="2" t="s">
        <v>5</v>
      </c>
      <c r="D506" s="3" t="s">
        <v>6</v>
      </c>
      <c r="E506" s="2" t="s">
        <v>7</v>
      </c>
      <c r="F506" s="2" t="s">
        <v>5</v>
      </c>
      <c r="G506" s="3" t="s">
        <v>6</v>
      </c>
      <c r="H506" s="2" t="s">
        <v>7</v>
      </c>
      <c r="I506" s="2" t="s">
        <v>5</v>
      </c>
      <c r="J506" s="3" t="s">
        <v>6</v>
      </c>
      <c r="K506" s="2" t="s">
        <v>7</v>
      </c>
    </row>
    <row r="507" spans="1:11" x14ac:dyDescent="0.25">
      <c r="A507" s="1"/>
      <c r="B507" s="1" t="s">
        <v>42</v>
      </c>
      <c r="C507" s="1"/>
      <c r="D507" s="34"/>
      <c r="E507" s="1"/>
      <c r="F507" s="1"/>
      <c r="G507" s="34"/>
      <c r="H507" s="1"/>
      <c r="I507" s="1">
        <v>0</v>
      </c>
      <c r="J507" s="34">
        <v>0</v>
      </c>
      <c r="K507" s="1">
        <v>0</v>
      </c>
    </row>
    <row r="508" spans="1:11" ht="15.75" x14ac:dyDescent="0.25">
      <c r="A508" s="7">
        <v>42009</v>
      </c>
      <c r="B508" s="8" t="s">
        <v>43</v>
      </c>
      <c r="C508" s="6">
        <v>1000</v>
      </c>
      <c r="D508" s="27">
        <f>+E508/C508</f>
        <v>6.8000000000000005E-2</v>
      </c>
      <c r="E508" s="8">
        <v>68</v>
      </c>
      <c r="F508" s="8"/>
      <c r="G508" s="27"/>
      <c r="H508" s="8"/>
      <c r="I508" s="6">
        <f>+I507+C508</f>
        <v>1000</v>
      </c>
      <c r="J508" s="27">
        <f>+K508/I508</f>
        <v>6.8000000000000005E-2</v>
      </c>
      <c r="K508" s="8">
        <f>+K507+E508</f>
        <v>68</v>
      </c>
    </row>
    <row r="509" spans="1:11" ht="30" x14ac:dyDescent="0.25">
      <c r="A509" s="307"/>
      <c r="B509" s="335" t="s">
        <v>603</v>
      </c>
      <c r="C509" s="222"/>
      <c r="D509" s="223"/>
      <c r="E509" s="222"/>
      <c r="F509" s="222">
        <v>2.5</v>
      </c>
      <c r="G509" s="223">
        <f>+J508</f>
        <v>6.8000000000000005E-2</v>
      </c>
      <c r="H509" s="222">
        <f>+G509*F509</f>
        <v>0.17</v>
      </c>
      <c r="I509" s="222">
        <f>+I508-F509</f>
        <v>997.5</v>
      </c>
      <c r="J509" s="223">
        <f>+K509/I509</f>
        <v>6.8000000000000005E-2</v>
      </c>
      <c r="K509" s="223">
        <f>+K508-H509</f>
        <v>67.83</v>
      </c>
    </row>
    <row r="510" spans="1:11" x14ac:dyDescent="0.25">
      <c r="A510" s="5"/>
      <c r="B510" s="2"/>
      <c r="C510" s="2"/>
      <c r="D510" s="3"/>
      <c r="E510" s="2"/>
      <c r="F510" s="2"/>
      <c r="G510" s="3"/>
      <c r="H510" s="2"/>
      <c r="I510" s="2"/>
      <c r="J510" s="3"/>
      <c r="K510" s="3"/>
    </row>
    <row r="511" spans="1:11" x14ac:dyDescent="0.25">
      <c r="A511" s="5"/>
      <c r="B511" s="2"/>
      <c r="C511" s="2"/>
      <c r="D511" s="3"/>
      <c r="E511" s="2"/>
      <c r="F511" s="2"/>
      <c r="G511" s="3"/>
      <c r="H511" s="3"/>
      <c r="I511" s="2"/>
      <c r="J511" s="3"/>
      <c r="K511" s="3"/>
    </row>
    <row r="514" spans="1:11" ht="15.75" x14ac:dyDescent="0.25">
      <c r="A514" s="456" t="s">
        <v>10</v>
      </c>
      <c r="B514" s="456"/>
      <c r="C514" s="456"/>
      <c r="D514" s="456"/>
      <c r="E514" s="456"/>
      <c r="F514" s="456"/>
      <c r="G514" s="456"/>
      <c r="H514" s="456"/>
      <c r="I514" s="456"/>
      <c r="J514" s="456"/>
      <c r="K514" s="456"/>
    </row>
    <row r="515" spans="1:11" ht="15.75" x14ac:dyDescent="0.25">
      <c r="A515" s="456" t="s">
        <v>11</v>
      </c>
      <c r="B515" s="456"/>
      <c r="C515" s="456"/>
      <c r="D515" s="456"/>
      <c r="E515" s="456"/>
      <c r="F515" s="456"/>
      <c r="G515" s="456"/>
      <c r="H515" s="456"/>
      <c r="I515" s="456"/>
      <c r="J515" s="456"/>
      <c r="K515" s="456"/>
    </row>
    <row r="516" spans="1:11" x14ac:dyDescent="0.25">
      <c r="A516" s="2" t="s">
        <v>8</v>
      </c>
      <c r="B516" s="465" t="s">
        <v>157</v>
      </c>
      <c r="C516" s="466"/>
      <c r="D516" s="466"/>
      <c r="E516" s="467"/>
      <c r="F516" s="9" t="s">
        <v>48</v>
      </c>
      <c r="G516" s="468" t="s">
        <v>49</v>
      </c>
      <c r="H516" s="469"/>
      <c r="I516" s="469"/>
      <c r="J516" s="469"/>
      <c r="K516" s="470"/>
    </row>
    <row r="517" spans="1:11" x14ac:dyDescent="0.25">
      <c r="A517" s="4" t="s">
        <v>9</v>
      </c>
      <c r="B517" s="471" t="s">
        <v>66</v>
      </c>
      <c r="C517" s="471"/>
      <c r="D517" s="471"/>
      <c r="E517" s="471"/>
      <c r="F517" s="11" t="s">
        <v>50</v>
      </c>
      <c r="G517" s="471" t="s">
        <v>67</v>
      </c>
      <c r="H517" s="471"/>
      <c r="I517" s="471"/>
      <c r="J517" s="471"/>
      <c r="K517" s="471"/>
    </row>
    <row r="518" spans="1:11" x14ac:dyDescent="0.25">
      <c r="A518" s="464" t="s">
        <v>0</v>
      </c>
      <c r="B518" s="464" t="s">
        <v>1</v>
      </c>
      <c r="C518" s="464" t="s">
        <v>2</v>
      </c>
      <c r="D518" s="464"/>
      <c r="E518" s="464"/>
      <c r="F518" s="464" t="s">
        <v>3</v>
      </c>
      <c r="G518" s="464"/>
      <c r="H518" s="464"/>
      <c r="I518" s="464" t="s">
        <v>4</v>
      </c>
      <c r="J518" s="464"/>
      <c r="K518" s="464"/>
    </row>
    <row r="519" spans="1:11" x14ac:dyDescent="0.25">
      <c r="A519" s="464"/>
      <c r="B519" s="464"/>
      <c r="C519" s="2" t="s">
        <v>5</v>
      </c>
      <c r="D519" s="3" t="s">
        <v>6</v>
      </c>
      <c r="E519" s="2" t="s">
        <v>7</v>
      </c>
      <c r="F519" s="2" t="s">
        <v>5</v>
      </c>
      <c r="G519" s="3" t="s">
        <v>6</v>
      </c>
      <c r="H519" s="2" t="s">
        <v>7</v>
      </c>
      <c r="I519" s="2" t="s">
        <v>5</v>
      </c>
      <c r="J519" s="3" t="s">
        <v>6</v>
      </c>
      <c r="K519" s="2" t="s">
        <v>7</v>
      </c>
    </row>
    <row r="520" spans="1:11" x14ac:dyDescent="0.25">
      <c r="A520" s="1"/>
      <c r="B520" s="1" t="s">
        <v>42</v>
      </c>
      <c r="C520" s="1"/>
      <c r="D520" s="34"/>
      <c r="E520" s="1"/>
      <c r="F520" s="1"/>
      <c r="G520" s="34"/>
      <c r="H520" s="1"/>
      <c r="I520" s="1">
        <v>0</v>
      </c>
      <c r="J520" s="34">
        <v>0</v>
      </c>
      <c r="K520" s="1">
        <v>0</v>
      </c>
    </row>
    <row r="521" spans="1:11" ht="15.75" x14ac:dyDescent="0.25">
      <c r="A521" s="7">
        <v>42009</v>
      </c>
      <c r="B521" s="8" t="s">
        <v>43</v>
      </c>
      <c r="C521" s="6">
        <v>1500</v>
      </c>
      <c r="D521" s="27">
        <f>+E521/C521</f>
        <v>5.2600000000000001E-2</v>
      </c>
      <c r="E521" s="8">
        <v>78.900000000000006</v>
      </c>
      <c r="F521" s="8"/>
      <c r="G521" s="27"/>
      <c r="H521" s="8"/>
      <c r="I521" s="6">
        <f>+I520+C521</f>
        <v>1500</v>
      </c>
      <c r="J521" s="27">
        <f>+K521/I521</f>
        <v>5.2600000000000001E-2</v>
      </c>
      <c r="K521" s="8">
        <f>+K520+E521</f>
        <v>78.900000000000006</v>
      </c>
    </row>
    <row r="522" spans="1:11" ht="30" x14ac:dyDescent="0.25">
      <c r="A522" s="5"/>
      <c r="B522" s="335" t="s">
        <v>603</v>
      </c>
      <c r="C522" s="222"/>
      <c r="D522" s="223"/>
      <c r="E522" s="222"/>
      <c r="F522" s="222">
        <v>3</v>
      </c>
      <c r="G522" s="223">
        <f>+J521</f>
        <v>5.2600000000000001E-2</v>
      </c>
      <c r="H522" s="222">
        <f>+G522*F522</f>
        <v>0.1578</v>
      </c>
      <c r="I522" s="222">
        <f>+I521-F522</f>
        <v>1497</v>
      </c>
      <c r="J522" s="342">
        <f>+K522/I522</f>
        <v>5.2600000000000008E-2</v>
      </c>
      <c r="K522" s="223">
        <f>+K521-H522</f>
        <v>78.742200000000011</v>
      </c>
    </row>
    <row r="523" spans="1:11" x14ac:dyDescent="0.25">
      <c r="A523" s="5"/>
      <c r="B523" s="2"/>
      <c r="C523" s="2"/>
      <c r="D523" s="3"/>
      <c r="E523" s="2"/>
      <c r="F523" s="2"/>
      <c r="G523" s="3"/>
      <c r="H523" s="2"/>
      <c r="I523" s="2"/>
      <c r="J523" s="3"/>
      <c r="K523" s="3"/>
    </row>
    <row r="524" spans="1:11" x14ac:dyDescent="0.25">
      <c r="A524" s="5"/>
      <c r="B524" s="2"/>
      <c r="C524" s="2"/>
      <c r="D524" s="3"/>
      <c r="E524" s="2"/>
      <c r="F524" s="2"/>
      <c r="G524" s="3"/>
      <c r="H524" s="3"/>
      <c r="I524" s="2"/>
      <c r="J524" s="3"/>
      <c r="K524" s="3"/>
    </row>
    <row r="529" spans="1:11" ht="15.75" x14ac:dyDescent="0.25">
      <c r="A529" s="456" t="s">
        <v>10</v>
      </c>
      <c r="B529" s="456"/>
      <c r="C529" s="456"/>
      <c r="D529" s="456"/>
      <c r="E529" s="456"/>
      <c r="F529" s="456"/>
      <c r="G529" s="456"/>
      <c r="H529" s="456"/>
      <c r="I529" s="456"/>
      <c r="J529" s="456"/>
      <c r="K529" s="456"/>
    </row>
    <row r="530" spans="1:11" ht="15.75" x14ac:dyDescent="0.25">
      <c r="A530" s="456" t="s">
        <v>11</v>
      </c>
      <c r="B530" s="456"/>
      <c r="C530" s="456"/>
      <c r="D530" s="456"/>
      <c r="E530" s="456"/>
      <c r="F530" s="456"/>
      <c r="G530" s="456"/>
      <c r="H530" s="456"/>
      <c r="I530" s="456"/>
      <c r="J530" s="456"/>
      <c r="K530" s="456"/>
    </row>
    <row r="531" spans="1:11" x14ac:dyDescent="0.25">
      <c r="A531" s="2" t="s">
        <v>8</v>
      </c>
      <c r="B531" s="465" t="s">
        <v>202</v>
      </c>
      <c r="C531" s="466"/>
      <c r="D531" s="466"/>
      <c r="E531" s="467"/>
      <c r="F531" s="31" t="s">
        <v>48</v>
      </c>
      <c r="G531" s="468" t="s">
        <v>49</v>
      </c>
      <c r="H531" s="469"/>
      <c r="I531" s="469"/>
      <c r="J531" s="469"/>
      <c r="K531" s="470"/>
    </row>
    <row r="532" spans="1:11" x14ac:dyDescent="0.25">
      <c r="A532" s="4" t="s">
        <v>9</v>
      </c>
      <c r="B532" s="471" t="s">
        <v>66</v>
      </c>
      <c r="C532" s="471"/>
      <c r="D532" s="471"/>
      <c r="E532" s="471"/>
      <c r="F532" s="11" t="s">
        <v>50</v>
      </c>
      <c r="G532" s="471" t="s">
        <v>73</v>
      </c>
      <c r="H532" s="471"/>
      <c r="I532" s="471"/>
      <c r="J532" s="471"/>
      <c r="K532" s="471"/>
    </row>
    <row r="533" spans="1:11" x14ac:dyDescent="0.25">
      <c r="A533" s="464" t="s">
        <v>0</v>
      </c>
      <c r="B533" s="464" t="s">
        <v>1</v>
      </c>
      <c r="C533" s="464" t="s">
        <v>2</v>
      </c>
      <c r="D533" s="464"/>
      <c r="E533" s="464"/>
      <c r="F533" s="464" t="s">
        <v>3</v>
      </c>
      <c r="G533" s="464"/>
      <c r="H533" s="464"/>
      <c r="I533" s="464" t="s">
        <v>4</v>
      </c>
      <c r="J533" s="464"/>
      <c r="K533" s="464"/>
    </row>
    <row r="534" spans="1:11" x14ac:dyDescent="0.25">
      <c r="A534" s="464"/>
      <c r="B534" s="464"/>
      <c r="C534" s="2" t="s">
        <v>5</v>
      </c>
      <c r="D534" s="3" t="s">
        <v>6</v>
      </c>
      <c r="E534" s="2" t="s">
        <v>7</v>
      </c>
      <c r="F534" s="2" t="s">
        <v>5</v>
      </c>
      <c r="G534" s="3" t="s">
        <v>6</v>
      </c>
      <c r="H534" s="2" t="s">
        <v>7</v>
      </c>
      <c r="I534" s="2" t="s">
        <v>5</v>
      </c>
      <c r="J534" s="3" t="s">
        <v>6</v>
      </c>
      <c r="K534" s="2" t="s">
        <v>7</v>
      </c>
    </row>
    <row r="535" spans="1:11" x14ac:dyDescent="0.25">
      <c r="A535" s="1"/>
      <c r="B535" s="1" t="s">
        <v>42</v>
      </c>
      <c r="C535" s="1"/>
      <c r="D535" s="34"/>
      <c r="E535" s="1"/>
      <c r="F535" s="1"/>
      <c r="G535" s="34"/>
      <c r="H535" s="1"/>
      <c r="I535" s="1">
        <v>0</v>
      </c>
      <c r="J535" s="34">
        <v>0</v>
      </c>
      <c r="K535" s="1">
        <v>0</v>
      </c>
    </row>
    <row r="536" spans="1:11" ht="15.75" x14ac:dyDescent="0.25">
      <c r="A536" s="7">
        <v>42009</v>
      </c>
      <c r="B536" s="8" t="s">
        <v>43</v>
      </c>
      <c r="C536" s="6">
        <v>1000</v>
      </c>
      <c r="D536" s="27">
        <f>+E536/C536</f>
        <v>2.1950000000000001E-2</v>
      </c>
      <c r="E536" s="8">
        <v>21.95</v>
      </c>
      <c r="F536" s="8"/>
      <c r="G536" s="27"/>
      <c r="H536" s="8"/>
      <c r="I536" s="6">
        <f>+I535+C536</f>
        <v>1000</v>
      </c>
      <c r="J536" s="27">
        <f>+K536/I536</f>
        <v>2.1950000000000001E-2</v>
      </c>
      <c r="K536" s="8">
        <f>+K535+E536</f>
        <v>21.95</v>
      </c>
    </row>
    <row r="537" spans="1:11" ht="30" x14ac:dyDescent="0.25">
      <c r="A537" s="307"/>
      <c r="B537" s="335" t="s">
        <v>610</v>
      </c>
      <c r="C537" s="222"/>
      <c r="D537" s="223"/>
      <c r="E537" s="222"/>
      <c r="F537" s="222">
        <v>3</v>
      </c>
      <c r="G537" s="223">
        <f>+J536</f>
        <v>2.1950000000000001E-2</v>
      </c>
      <c r="H537" s="223">
        <f>+G537*F537</f>
        <v>6.5850000000000006E-2</v>
      </c>
      <c r="I537" s="222">
        <f>+I536-F537</f>
        <v>997</v>
      </c>
      <c r="J537" s="223">
        <f>+K537/I537</f>
        <v>2.1949999999999997E-2</v>
      </c>
      <c r="K537" s="223">
        <f>+K536-H537</f>
        <v>21.884149999999998</v>
      </c>
    </row>
    <row r="538" spans="1:11" x14ac:dyDescent="0.25">
      <c r="A538" s="5"/>
      <c r="B538" s="2"/>
      <c r="C538" s="2"/>
      <c r="D538" s="3"/>
      <c r="E538" s="2"/>
      <c r="F538" s="2"/>
      <c r="G538" s="3"/>
      <c r="H538" s="2"/>
      <c r="I538" s="2"/>
      <c r="J538" s="3"/>
      <c r="K538" s="3"/>
    </row>
    <row r="539" spans="1:11" x14ac:dyDescent="0.25">
      <c r="A539" s="5"/>
      <c r="B539" s="2"/>
      <c r="C539" s="2"/>
      <c r="D539" s="3"/>
      <c r="E539" s="2"/>
      <c r="F539" s="2"/>
      <c r="G539" s="3"/>
      <c r="H539" s="3"/>
      <c r="I539" s="2"/>
      <c r="J539" s="3"/>
      <c r="K539" s="3"/>
    </row>
    <row r="542" spans="1:11" ht="15.75" x14ac:dyDescent="0.25">
      <c r="A542" s="456" t="s">
        <v>10</v>
      </c>
      <c r="B542" s="456"/>
      <c r="C542" s="456"/>
      <c r="D542" s="456"/>
      <c r="E542" s="456"/>
      <c r="F542" s="456"/>
      <c r="G542" s="456"/>
      <c r="H542" s="456"/>
      <c r="I542" s="456"/>
      <c r="J542" s="456"/>
      <c r="K542" s="456"/>
    </row>
    <row r="543" spans="1:11" ht="15.75" x14ac:dyDescent="0.25">
      <c r="A543" s="456" t="s">
        <v>11</v>
      </c>
      <c r="B543" s="456"/>
      <c r="C543" s="456"/>
      <c r="D543" s="456"/>
      <c r="E543" s="456"/>
      <c r="F543" s="456"/>
      <c r="G543" s="456"/>
      <c r="H543" s="456"/>
      <c r="I543" s="456"/>
      <c r="J543" s="456"/>
      <c r="K543" s="456"/>
    </row>
    <row r="544" spans="1:11" x14ac:dyDescent="0.25">
      <c r="A544" s="2" t="s">
        <v>8</v>
      </c>
      <c r="B544" s="465" t="s">
        <v>201</v>
      </c>
      <c r="C544" s="466"/>
      <c r="D544" s="466"/>
      <c r="E544" s="467"/>
      <c r="F544" s="31" t="s">
        <v>48</v>
      </c>
      <c r="G544" s="468" t="s">
        <v>49</v>
      </c>
      <c r="H544" s="469"/>
      <c r="I544" s="469"/>
      <c r="J544" s="469"/>
      <c r="K544" s="470"/>
    </row>
    <row r="545" spans="1:11" x14ac:dyDescent="0.25">
      <c r="A545" s="4" t="s">
        <v>9</v>
      </c>
      <c r="B545" s="471" t="s">
        <v>66</v>
      </c>
      <c r="C545" s="471"/>
      <c r="D545" s="471"/>
      <c r="E545" s="471"/>
      <c r="F545" s="11" t="s">
        <v>50</v>
      </c>
      <c r="G545" s="471" t="s">
        <v>73</v>
      </c>
      <c r="H545" s="471"/>
      <c r="I545" s="471"/>
      <c r="J545" s="471"/>
      <c r="K545" s="471"/>
    </row>
    <row r="546" spans="1:11" x14ac:dyDescent="0.25">
      <c r="A546" s="464" t="s">
        <v>0</v>
      </c>
      <c r="B546" s="464" t="s">
        <v>1</v>
      </c>
      <c r="C546" s="464" t="s">
        <v>2</v>
      </c>
      <c r="D546" s="464"/>
      <c r="E546" s="464"/>
      <c r="F546" s="464" t="s">
        <v>3</v>
      </c>
      <c r="G546" s="464"/>
      <c r="H546" s="464"/>
      <c r="I546" s="464" t="s">
        <v>4</v>
      </c>
      <c r="J546" s="464"/>
      <c r="K546" s="464"/>
    </row>
    <row r="547" spans="1:11" x14ac:dyDescent="0.25">
      <c r="A547" s="464"/>
      <c r="B547" s="464"/>
      <c r="C547" s="2" t="s">
        <v>5</v>
      </c>
      <c r="D547" s="3" t="s">
        <v>6</v>
      </c>
      <c r="E547" s="2" t="s">
        <v>7</v>
      </c>
      <c r="F547" s="2" t="s">
        <v>5</v>
      </c>
      <c r="G547" s="3" t="s">
        <v>6</v>
      </c>
      <c r="H547" s="2" t="s">
        <v>7</v>
      </c>
      <c r="I547" s="2" t="s">
        <v>5</v>
      </c>
      <c r="J547" s="3" t="s">
        <v>6</v>
      </c>
      <c r="K547" s="2" t="s">
        <v>7</v>
      </c>
    </row>
    <row r="548" spans="1:11" x14ac:dyDescent="0.25">
      <c r="A548" s="1"/>
      <c r="B548" s="1" t="s">
        <v>42</v>
      </c>
      <c r="C548" s="1"/>
      <c r="D548" s="34"/>
      <c r="E548" s="1"/>
      <c r="F548" s="1"/>
      <c r="G548" s="34"/>
      <c r="H548" s="1"/>
      <c r="I548" s="1">
        <v>0</v>
      </c>
      <c r="J548" s="34">
        <v>0</v>
      </c>
      <c r="K548" s="1">
        <v>0</v>
      </c>
    </row>
    <row r="549" spans="1:11" ht="15.75" x14ac:dyDescent="0.25">
      <c r="A549" s="7">
        <v>42009</v>
      </c>
      <c r="B549" s="8" t="s">
        <v>43</v>
      </c>
      <c r="C549" s="6">
        <v>1000</v>
      </c>
      <c r="D549" s="27">
        <f>+E549/C549</f>
        <v>2.1950000000000001E-2</v>
      </c>
      <c r="E549" s="8">
        <v>21.95</v>
      </c>
      <c r="F549" s="8"/>
      <c r="G549" s="27"/>
      <c r="H549" s="8"/>
      <c r="I549" s="6">
        <f>+I548+C549</f>
        <v>1000</v>
      </c>
      <c r="J549" s="27">
        <f>+K549/I549</f>
        <v>2.1950000000000001E-2</v>
      </c>
      <c r="K549" s="8">
        <f>+K548+E549</f>
        <v>21.95</v>
      </c>
    </row>
    <row r="550" spans="1:11" ht="30" x14ac:dyDescent="0.25">
      <c r="A550" s="307"/>
      <c r="B550" s="335" t="s">
        <v>610</v>
      </c>
      <c r="C550" s="222"/>
      <c r="D550" s="223"/>
      <c r="E550" s="222"/>
      <c r="F550" s="222">
        <v>3</v>
      </c>
      <c r="G550" s="223">
        <f>+J549</f>
        <v>2.1950000000000001E-2</v>
      </c>
      <c r="H550" s="223">
        <f>+G550*F550</f>
        <v>6.5850000000000006E-2</v>
      </c>
      <c r="I550" s="222">
        <f>+I549-F550</f>
        <v>997</v>
      </c>
      <c r="J550" s="223">
        <f>+K550/I550</f>
        <v>2.1949999999999997E-2</v>
      </c>
      <c r="K550" s="223">
        <f>+K549-H550</f>
        <v>21.884149999999998</v>
      </c>
    </row>
    <row r="551" spans="1:11" x14ac:dyDescent="0.25">
      <c r="A551" s="5"/>
      <c r="B551" s="2"/>
      <c r="C551" s="2"/>
      <c r="D551" s="3"/>
      <c r="E551" s="2"/>
      <c r="F551" s="2"/>
      <c r="G551" s="3"/>
      <c r="H551" s="2"/>
      <c r="I551" s="2"/>
      <c r="J551" s="3"/>
      <c r="K551" s="3"/>
    </row>
    <row r="552" spans="1:11" x14ac:dyDescent="0.25">
      <c r="A552" s="5"/>
      <c r="B552" s="2"/>
      <c r="C552" s="2"/>
      <c r="D552" s="3"/>
      <c r="E552" s="2"/>
      <c r="F552" s="2"/>
      <c r="G552" s="3"/>
      <c r="H552" s="3"/>
      <c r="I552" s="2"/>
      <c r="J552" s="3"/>
      <c r="K552" s="3"/>
    </row>
  </sheetData>
  <mergeCells count="440">
    <mergeCell ref="A542:K542"/>
    <mergeCell ref="A543:K543"/>
    <mergeCell ref="B544:E544"/>
    <mergeCell ref="G544:K544"/>
    <mergeCell ref="B545:E545"/>
    <mergeCell ref="G545:K545"/>
    <mergeCell ref="A546:A547"/>
    <mergeCell ref="B546:B547"/>
    <mergeCell ref="C546:E546"/>
    <mergeCell ref="F546:H546"/>
    <mergeCell ref="I546:K546"/>
    <mergeCell ref="A529:K529"/>
    <mergeCell ref="A530:K530"/>
    <mergeCell ref="B531:E531"/>
    <mergeCell ref="G531:K531"/>
    <mergeCell ref="B532:E532"/>
    <mergeCell ref="G532:K532"/>
    <mergeCell ref="A533:A534"/>
    <mergeCell ref="B533:B534"/>
    <mergeCell ref="C533:E533"/>
    <mergeCell ref="F533:H533"/>
    <mergeCell ref="I533:K533"/>
    <mergeCell ref="A515:K515"/>
    <mergeCell ref="B516:E516"/>
    <mergeCell ref="G516:K516"/>
    <mergeCell ref="B517:E517"/>
    <mergeCell ref="G517:K517"/>
    <mergeCell ref="A518:A519"/>
    <mergeCell ref="B518:B519"/>
    <mergeCell ref="C518:E518"/>
    <mergeCell ref="F518:H518"/>
    <mergeCell ref="I518:K518"/>
    <mergeCell ref="A505:A506"/>
    <mergeCell ref="B505:B506"/>
    <mergeCell ref="C505:E505"/>
    <mergeCell ref="F505:H505"/>
    <mergeCell ref="I505:K505"/>
    <mergeCell ref="A514:K514"/>
    <mergeCell ref="A501:K501"/>
    <mergeCell ref="A502:K502"/>
    <mergeCell ref="B503:E503"/>
    <mergeCell ref="G503:K503"/>
    <mergeCell ref="B504:E504"/>
    <mergeCell ref="G504:K504"/>
    <mergeCell ref="A489:K489"/>
    <mergeCell ref="B490:E490"/>
    <mergeCell ref="G490:K490"/>
    <mergeCell ref="B491:E491"/>
    <mergeCell ref="G491:K491"/>
    <mergeCell ref="A492:A493"/>
    <mergeCell ref="B492:B493"/>
    <mergeCell ref="C492:E492"/>
    <mergeCell ref="F492:H492"/>
    <mergeCell ref="I492:K492"/>
    <mergeCell ref="A479:A480"/>
    <mergeCell ref="B479:B480"/>
    <mergeCell ref="C479:E479"/>
    <mergeCell ref="F479:H479"/>
    <mergeCell ref="I479:K479"/>
    <mergeCell ref="A488:K488"/>
    <mergeCell ref="A475:K475"/>
    <mergeCell ref="A476:K476"/>
    <mergeCell ref="B477:E477"/>
    <mergeCell ref="G477:K477"/>
    <mergeCell ref="B478:E478"/>
    <mergeCell ref="G478:K478"/>
    <mergeCell ref="A463:K463"/>
    <mergeCell ref="B464:E464"/>
    <mergeCell ref="G464:K464"/>
    <mergeCell ref="B465:E465"/>
    <mergeCell ref="G465:K465"/>
    <mergeCell ref="A466:A467"/>
    <mergeCell ref="B466:B467"/>
    <mergeCell ref="C466:E466"/>
    <mergeCell ref="F466:H466"/>
    <mergeCell ref="I466:K466"/>
    <mergeCell ref="A453:A454"/>
    <mergeCell ref="B453:B454"/>
    <mergeCell ref="C453:E453"/>
    <mergeCell ref="F453:H453"/>
    <mergeCell ref="I453:K453"/>
    <mergeCell ref="A462:K462"/>
    <mergeCell ref="A449:K449"/>
    <mergeCell ref="A450:K450"/>
    <mergeCell ref="B451:E451"/>
    <mergeCell ref="G451:K451"/>
    <mergeCell ref="B452:E452"/>
    <mergeCell ref="G452:K452"/>
    <mergeCell ref="A437:K437"/>
    <mergeCell ref="B438:E438"/>
    <mergeCell ref="G438:K438"/>
    <mergeCell ref="B439:E439"/>
    <mergeCell ref="G439:K439"/>
    <mergeCell ref="A440:A441"/>
    <mergeCell ref="B440:B441"/>
    <mergeCell ref="C440:E440"/>
    <mergeCell ref="F440:H440"/>
    <mergeCell ref="I440:K440"/>
    <mergeCell ref="A426:A427"/>
    <mergeCell ref="B426:B427"/>
    <mergeCell ref="C426:E426"/>
    <mergeCell ref="F426:H426"/>
    <mergeCell ref="I426:K426"/>
    <mergeCell ref="A436:K436"/>
    <mergeCell ref="A422:K422"/>
    <mergeCell ref="A423:K423"/>
    <mergeCell ref="B424:E424"/>
    <mergeCell ref="G424:K424"/>
    <mergeCell ref="B425:E425"/>
    <mergeCell ref="G425:K425"/>
    <mergeCell ref="A409:K409"/>
    <mergeCell ref="B410:E410"/>
    <mergeCell ref="G410:K410"/>
    <mergeCell ref="B411:E411"/>
    <mergeCell ref="G411:K411"/>
    <mergeCell ref="A412:A413"/>
    <mergeCell ref="B412:B413"/>
    <mergeCell ref="C412:E412"/>
    <mergeCell ref="F412:H412"/>
    <mergeCell ref="I412:K412"/>
    <mergeCell ref="A398:A399"/>
    <mergeCell ref="B398:B399"/>
    <mergeCell ref="C398:E398"/>
    <mergeCell ref="F398:H398"/>
    <mergeCell ref="I398:K398"/>
    <mergeCell ref="A408:K408"/>
    <mergeCell ref="A394:K394"/>
    <mergeCell ref="A395:K395"/>
    <mergeCell ref="B396:E396"/>
    <mergeCell ref="G396:K396"/>
    <mergeCell ref="B397:E397"/>
    <mergeCell ref="G397:K397"/>
    <mergeCell ref="A381:K381"/>
    <mergeCell ref="B382:E382"/>
    <mergeCell ref="G382:K382"/>
    <mergeCell ref="B383:E383"/>
    <mergeCell ref="G383:K383"/>
    <mergeCell ref="A384:A385"/>
    <mergeCell ref="B384:B385"/>
    <mergeCell ref="C384:E384"/>
    <mergeCell ref="F384:H384"/>
    <mergeCell ref="I384:K384"/>
    <mergeCell ref="A366:A367"/>
    <mergeCell ref="B366:B367"/>
    <mergeCell ref="C366:E366"/>
    <mergeCell ref="F366:H366"/>
    <mergeCell ref="I366:K366"/>
    <mergeCell ref="A380:K380"/>
    <mergeCell ref="A362:K362"/>
    <mergeCell ref="A363:K363"/>
    <mergeCell ref="B364:E364"/>
    <mergeCell ref="G364:K364"/>
    <mergeCell ref="B365:E365"/>
    <mergeCell ref="G365:K365"/>
    <mergeCell ref="A346:K346"/>
    <mergeCell ref="B347:E347"/>
    <mergeCell ref="G347:K347"/>
    <mergeCell ref="B348:E348"/>
    <mergeCell ref="G348:K348"/>
    <mergeCell ref="A349:A350"/>
    <mergeCell ref="B349:B350"/>
    <mergeCell ref="C349:E349"/>
    <mergeCell ref="F349:H349"/>
    <mergeCell ref="I349:K349"/>
    <mergeCell ref="A334:A335"/>
    <mergeCell ref="B334:B335"/>
    <mergeCell ref="C334:E334"/>
    <mergeCell ref="F334:H334"/>
    <mergeCell ref="I334:K334"/>
    <mergeCell ref="A345:K345"/>
    <mergeCell ref="A330:K330"/>
    <mergeCell ref="A331:K331"/>
    <mergeCell ref="B332:E332"/>
    <mergeCell ref="G332:K332"/>
    <mergeCell ref="B333:E333"/>
    <mergeCell ref="G333:K333"/>
    <mergeCell ref="B317:E317"/>
    <mergeCell ref="G317:K317"/>
    <mergeCell ref="B318:E318"/>
    <mergeCell ref="G318:K318"/>
    <mergeCell ref="A319:A320"/>
    <mergeCell ref="B319:B320"/>
    <mergeCell ref="C319:E319"/>
    <mergeCell ref="F319:H319"/>
    <mergeCell ref="I319:K319"/>
    <mergeCell ref="A255:K255"/>
    <mergeCell ref="A269:K269"/>
    <mergeCell ref="A288:K288"/>
    <mergeCell ref="A301:K301"/>
    <mergeCell ref="A315:K315"/>
    <mergeCell ref="A316:K316"/>
    <mergeCell ref="A302:K302"/>
    <mergeCell ref="B303:E303"/>
    <mergeCell ref="G303:K303"/>
    <mergeCell ref="B304:E304"/>
    <mergeCell ref="G304:K304"/>
    <mergeCell ref="A305:A306"/>
    <mergeCell ref="B305:B306"/>
    <mergeCell ref="C305:E305"/>
    <mergeCell ref="F305:H305"/>
    <mergeCell ref="I305:K305"/>
    <mergeCell ref="A289:K289"/>
    <mergeCell ref="B290:E290"/>
    <mergeCell ref="G290:K290"/>
    <mergeCell ref="B291:E291"/>
    <mergeCell ref="G291:K291"/>
    <mergeCell ref="A292:A293"/>
    <mergeCell ref="B292:B293"/>
    <mergeCell ref="C292:E292"/>
    <mergeCell ref="F292:H292"/>
    <mergeCell ref="I292:K292"/>
    <mergeCell ref="A270:K270"/>
    <mergeCell ref="B271:E271"/>
    <mergeCell ref="G271:K271"/>
    <mergeCell ref="B272:E272"/>
    <mergeCell ref="G272:K272"/>
    <mergeCell ref="A273:A274"/>
    <mergeCell ref="B273:B274"/>
    <mergeCell ref="C273:E273"/>
    <mergeCell ref="F273:H273"/>
    <mergeCell ref="I273:K273"/>
    <mergeCell ref="A256:K256"/>
    <mergeCell ref="B257:E257"/>
    <mergeCell ref="G257:K257"/>
    <mergeCell ref="B258:E258"/>
    <mergeCell ref="G258:K258"/>
    <mergeCell ref="A259:A260"/>
    <mergeCell ref="B259:B260"/>
    <mergeCell ref="C259:E259"/>
    <mergeCell ref="F259:H259"/>
    <mergeCell ref="I259:K259"/>
    <mergeCell ref="B245:E245"/>
    <mergeCell ref="G245:K245"/>
    <mergeCell ref="B246:E246"/>
    <mergeCell ref="G246:K246"/>
    <mergeCell ref="A247:A248"/>
    <mergeCell ref="B247:B248"/>
    <mergeCell ref="C247:E247"/>
    <mergeCell ref="F247:H247"/>
    <mergeCell ref="I247:K247"/>
    <mergeCell ref="A233:A234"/>
    <mergeCell ref="B233:B234"/>
    <mergeCell ref="C233:E233"/>
    <mergeCell ref="F233:H233"/>
    <mergeCell ref="I233:K233"/>
    <mergeCell ref="A244:K244"/>
    <mergeCell ref="A243:K243"/>
    <mergeCell ref="A229:K229"/>
    <mergeCell ref="A230:K230"/>
    <mergeCell ref="B231:E231"/>
    <mergeCell ref="G231:K231"/>
    <mergeCell ref="B232:E232"/>
    <mergeCell ref="G232:K232"/>
    <mergeCell ref="A217:K217"/>
    <mergeCell ref="B218:E218"/>
    <mergeCell ref="G218:K218"/>
    <mergeCell ref="B219:E219"/>
    <mergeCell ref="G219:K219"/>
    <mergeCell ref="A220:A221"/>
    <mergeCell ref="B220:B221"/>
    <mergeCell ref="C220:E220"/>
    <mergeCell ref="F220:H220"/>
    <mergeCell ref="I220:K220"/>
    <mergeCell ref="A206:A207"/>
    <mergeCell ref="B206:B207"/>
    <mergeCell ref="C206:E206"/>
    <mergeCell ref="F206:H206"/>
    <mergeCell ref="I206:K206"/>
    <mergeCell ref="A216:K216"/>
    <mergeCell ref="A202:K202"/>
    <mergeCell ref="A203:K203"/>
    <mergeCell ref="B204:E204"/>
    <mergeCell ref="G204:K204"/>
    <mergeCell ref="B205:E205"/>
    <mergeCell ref="G205:K205"/>
    <mergeCell ref="A190:K190"/>
    <mergeCell ref="B191:E191"/>
    <mergeCell ref="G191:K191"/>
    <mergeCell ref="B192:E192"/>
    <mergeCell ref="G192:K192"/>
    <mergeCell ref="A193:A194"/>
    <mergeCell ref="B193:B194"/>
    <mergeCell ref="C193:E193"/>
    <mergeCell ref="F193:H193"/>
    <mergeCell ref="I193:K193"/>
    <mergeCell ref="A180:A181"/>
    <mergeCell ref="B180:B181"/>
    <mergeCell ref="C180:E180"/>
    <mergeCell ref="F180:H180"/>
    <mergeCell ref="I180:K180"/>
    <mergeCell ref="A189:K189"/>
    <mergeCell ref="A176:K176"/>
    <mergeCell ref="A177:K177"/>
    <mergeCell ref="B178:E178"/>
    <mergeCell ref="G178:K178"/>
    <mergeCell ref="B179:E179"/>
    <mergeCell ref="G179:K179"/>
    <mergeCell ref="A163:K163"/>
    <mergeCell ref="B164:E164"/>
    <mergeCell ref="G164:K164"/>
    <mergeCell ref="B165:E165"/>
    <mergeCell ref="G165:K165"/>
    <mergeCell ref="A166:A167"/>
    <mergeCell ref="B166:B167"/>
    <mergeCell ref="C166:E166"/>
    <mergeCell ref="F166:H166"/>
    <mergeCell ref="I166:K166"/>
    <mergeCell ref="A162:K162"/>
    <mergeCell ref="A148:K148"/>
    <mergeCell ref="B149:E149"/>
    <mergeCell ref="G149:K149"/>
    <mergeCell ref="B150:E150"/>
    <mergeCell ref="G150:K150"/>
    <mergeCell ref="A151:A152"/>
    <mergeCell ref="B151:B152"/>
    <mergeCell ref="C151:E151"/>
    <mergeCell ref="F151:H151"/>
    <mergeCell ref="I151:K151"/>
    <mergeCell ref="A138:A139"/>
    <mergeCell ref="B138:B139"/>
    <mergeCell ref="C138:E138"/>
    <mergeCell ref="F138:H138"/>
    <mergeCell ref="I138:K138"/>
    <mergeCell ref="A147:K147"/>
    <mergeCell ref="A134:K134"/>
    <mergeCell ref="A135:K135"/>
    <mergeCell ref="B136:E136"/>
    <mergeCell ref="G136:K136"/>
    <mergeCell ref="B137:E137"/>
    <mergeCell ref="G137:K137"/>
    <mergeCell ref="A121:K121"/>
    <mergeCell ref="B122:E122"/>
    <mergeCell ref="G122:K122"/>
    <mergeCell ref="B123:E123"/>
    <mergeCell ref="G123:K123"/>
    <mergeCell ref="A124:A125"/>
    <mergeCell ref="B124:B125"/>
    <mergeCell ref="C124:E124"/>
    <mergeCell ref="F124:H124"/>
    <mergeCell ref="I124:K124"/>
    <mergeCell ref="A110:A111"/>
    <mergeCell ref="B110:B111"/>
    <mergeCell ref="C110:E110"/>
    <mergeCell ref="F110:H110"/>
    <mergeCell ref="I110:K110"/>
    <mergeCell ref="A120:K120"/>
    <mergeCell ref="A106:K106"/>
    <mergeCell ref="A107:K107"/>
    <mergeCell ref="B108:E108"/>
    <mergeCell ref="G108:K108"/>
    <mergeCell ref="B109:E109"/>
    <mergeCell ref="G109:K109"/>
    <mergeCell ref="A94:K94"/>
    <mergeCell ref="B95:E95"/>
    <mergeCell ref="G95:K95"/>
    <mergeCell ref="B96:E96"/>
    <mergeCell ref="G96:K96"/>
    <mergeCell ref="A97:A98"/>
    <mergeCell ref="B97:B98"/>
    <mergeCell ref="C97:E97"/>
    <mergeCell ref="F97:H97"/>
    <mergeCell ref="I97:K97"/>
    <mergeCell ref="A83:A84"/>
    <mergeCell ref="B83:B84"/>
    <mergeCell ref="C83:E83"/>
    <mergeCell ref="F83:H83"/>
    <mergeCell ref="I83:K83"/>
    <mergeCell ref="A93:K93"/>
    <mergeCell ref="A79:K79"/>
    <mergeCell ref="A80:K80"/>
    <mergeCell ref="B81:E81"/>
    <mergeCell ref="G81:K81"/>
    <mergeCell ref="B82:E82"/>
    <mergeCell ref="G82:K82"/>
    <mergeCell ref="A67:K67"/>
    <mergeCell ref="B68:E68"/>
    <mergeCell ref="G68:K68"/>
    <mergeCell ref="B69:E69"/>
    <mergeCell ref="G69:K69"/>
    <mergeCell ref="A70:A71"/>
    <mergeCell ref="B70:B71"/>
    <mergeCell ref="C70:E70"/>
    <mergeCell ref="F70:H70"/>
    <mergeCell ref="I70:K70"/>
    <mergeCell ref="A57:A58"/>
    <mergeCell ref="B57:B58"/>
    <mergeCell ref="C57:E57"/>
    <mergeCell ref="F57:H57"/>
    <mergeCell ref="I57:K57"/>
    <mergeCell ref="A66:K66"/>
    <mergeCell ref="A53:K53"/>
    <mergeCell ref="A54:K54"/>
    <mergeCell ref="B55:E55"/>
    <mergeCell ref="G55:K55"/>
    <mergeCell ref="B56:E56"/>
    <mergeCell ref="G56:K56"/>
    <mergeCell ref="A41:K41"/>
    <mergeCell ref="B42:E42"/>
    <mergeCell ref="G42:K42"/>
    <mergeCell ref="B43:E43"/>
    <mergeCell ref="G43:K43"/>
    <mergeCell ref="A44:A45"/>
    <mergeCell ref="B44:B45"/>
    <mergeCell ref="C44:E44"/>
    <mergeCell ref="F44:H44"/>
    <mergeCell ref="I44:K44"/>
    <mergeCell ref="A31:A32"/>
    <mergeCell ref="B31:B32"/>
    <mergeCell ref="C31:E31"/>
    <mergeCell ref="F31:H31"/>
    <mergeCell ref="I31:K31"/>
    <mergeCell ref="A40:K40"/>
    <mergeCell ref="A27:K27"/>
    <mergeCell ref="A28:K28"/>
    <mergeCell ref="B29:E29"/>
    <mergeCell ref="G29:K29"/>
    <mergeCell ref="B30:E30"/>
    <mergeCell ref="G30:K30"/>
    <mergeCell ref="A15:K15"/>
    <mergeCell ref="B16:E16"/>
    <mergeCell ref="G16:K16"/>
    <mergeCell ref="B17:E17"/>
    <mergeCell ref="G17:K17"/>
    <mergeCell ref="A18:A19"/>
    <mergeCell ref="B18:B19"/>
    <mergeCell ref="C18:E18"/>
    <mergeCell ref="F18:H18"/>
    <mergeCell ref="I18:K18"/>
    <mergeCell ref="A5:A6"/>
    <mergeCell ref="B5:B6"/>
    <mergeCell ref="C5:E5"/>
    <mergeCell ref="F5:H5"/>
    <mergeCell ref="I5:K5"/>
    <mergeCell ref="A14:K14"/>
    <mergeCell ref="A1:K1"/>
    <mergeCell ref="A2:K2"/>
    <mergeCell ref="B3:E3"/>
    <mergeCell ref="G3:K3"/>
    <mergeCell ref="B4:E4"/>
    <mergeCell ref="G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0"/>
  <sheetViews>
    <sheetView topLeftCell="A415" zoomScale="70" zoomScaleNormal="70" workbookViewId="0">
      <selection activeCell="F437" sqref="F437"/>
    </sheetView>
  </sheetViews>
  <sheetFormatPr baseColWidth="10" defaultRowHeight="15" x14ac:dyDescent="0.25"/>
  <cols>
    <col min="1" max="1" width="17.5703125" customWidth="1"/>
    <col min="2" max="2" width="33.42578125" customWidth="1"/>
    <col min="4" max="4" width="11.42578125" style="35"/>
    <col min="7" max="7" width="11.42578125" style="35"/>
    <col min="10" max="10" width="11.42578125" style="35"/>
  </cols>
  <sheetData>
    <row r="2" spans="1:11" ht="15.75" x14ac:dyDescent="0.25">
      <c r="A2" s="456" t="s">
        <v>10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</row>
    <row r="3" spans="1:11" ht="15.75" x14ac:dyDescent="0.25">
      <c r="A3" s="456" t="s">
        <v>11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</row>
    <row r="4" spans="1:11" x14ac:dyDescent="0.25">
      <c r="A4" s="2" t="s">
        <v>8</v>
      </c>
      <c r="B4" s="465" t="s">
        <v>158</v>
      </c>
      <c r="C4" s="466"/>
      <c r="D4" s="466"/>
      <c r="E4" s="467"/>
      <c r="F4" s="9" t="s">
        <v>48</v>
      </c>
      <c r="G4" s="468" t="s">
        <v>49</v>
      </c>
      <c r="H4" s="469"/>
      <c r="I4" s="469"/>
      <c r="J4" s="469"/>
      <c r="K4" s="470"/>
    </row>
    <row r="5" spans="1:11" x14ac:dyDescent="0.25">
      <c r="A5" s="4" t="s">
        <v>9</v>
      </c>
      <c r="B5" s="471" t="s">
        <v>66</v>
      </c>
      <c r="C5" s="471"/>
      <c r="D5" s="471"/>
      <c r="E5" s="471"/>
      <c r="F5" s="11" t="s">
        <v>50</v>
      </c>
      <c r="G5" s="471" t="s">
        <v>67</v>
      </c>
      <c r="H5" s="471"/>
      <c r="I5" s="471"/>
      <c r="J5" s="471"/>
      <c r="K5" s="471"/>
    </row>
    <row r="6" spans="1:11" x14ac:dyDescent="0.25">
      <c r="A6" s="464" t="s">
        <v>0</v>
      </c>
      <c r="B6" s="464" t="s">
        <v>1</v>
      </c>
      <c r="C6" s="464" t="s">
        <v>2</v>
      </c>
      <c r="D6" s="464"/>
      <c r="E6" s="464"/>
      <c r="F6" s="464" t="s">
        <v>3</v>
      </c>
      <c r="G6" s="464"/>
      <c r="H6" s="464"/>
      <c r="I6" s="464" t="s">
        <v>4</v>
      </c>
      <c r="J6" s="464"/>
      <c r="K6" s="464"/>
    </row>
    <row r="7" spans="1:11" x14ac:dyDescent="0.25">
      <c r="A7" s="464"/>
      <c r="B7" s="464"/>
      <c r="C7" s="2" t="s">
        <v>5</v>
      </c>
      <c r="D7" s="3" t="s">
        <v>6</v>
      </c>
      <c r="E7" s="2" t="s">
        <v>7</v>
      </c>
      <c r="F7" s="2" t="s">
        <v>5</v>
      </c>
      <c r="G7" s="3" t="s">
        <v>6</v>
      </c>
      <c r="H7" s="2" t="s">
        <v>7</v>
      </c>
      <c r="I7" s="2" t="s">
        <v>5</v>
      </c>
      <c r="J7" s="3" t="s">
        <v>6</v>
      </c>
      <c r="K7" s="2" t="s">
        <v>7</v>
      </c>
    </row>
    <row r="8" spans="1:11" x14ac:dyDescent="0.25">
      <c r="A8" s="1"/>
      <c r="B8" s="1" t="s">
        <v>42</v>
      </c>
      <c r="C8" s="1"/>
      <c r="D8" s="34"/>
      <c r="E8" s="1"/>
      <c r="F8" s="1"/>
      <c r="G8" s="34"/>
      <c r="H8" s="1"/>
      <c r="I8" s="1">
        <v>0</v>
      </c>
      <c r="J8" s="34">
        <v>0</v>
      </c>
      <c r="K8" s="1">
        <v>0</v>
      </c>
    </row>
    <row r="9" spans="1:11" ht="15.75" x14ac:dyDescent="0.25">
      <c r="A9" s="7">
        <v>42009</v>
      </c>
      <c r="B9" s="8" t="s">
        <v>43</v>
      </c>
      <c r="C9" s="6">
        <v>1500</v>
      </c>
      <c r="D9" s="27">
        <f>+E9/C9</f>
        <v>5.2600000000000001E-2</v>
      </c>
      <c r="E9" s="8">
        <v>78.900000000000006</v>
      </c>
      <c r="F9" s="8"/>
      <c r="G9" s="27"/>
      <c r="H9" s="8"/>
      <c r="I9" s="6">
        <f>+I8+C9</f>
        <v>1500</v>
      </c>
      <c r="J9" s="27">
        <f>+K9/I9</f>
        <v>5.2600000000000001E-2</v>
      </c>
      <c r="K9" s="8">
        <f>+K8+E9</f>
        <v>78.900000000000006</v>
      </c>
    </row>
    <row r="10" spans="1:11" ht="30" x14ac:dyDescent="0.25">
      <c r="A10" s="307"/>
      <c r="B10" s="335" t="s">
        <v>603</v>
      </c>
      <c r="C10" s="222"/>
      <c r="D10" s="223"/>
      <c r="E10" s="222"/>
      <c r="F10" s="222">
        <v>3</v>
      </c>
      <c r="G10" s="223">
        <f>+J9*F10</f>
        <v>0.1578</v>
      </c>
      <c r="H10" s="222">
        <f>+G10*F10</f>
        <v>0.47339999999999999</v>
      </c>
      <c r="I10" s="222">
        <f>+I9-F10</f>
        <v>1497</v>
      </c>
      <c r="J10" s="223">
        <f>+K10/I10</f>
        <v>5.2389178356713431E-2</v>
      </c>
      <c r="K10" s="223">
        <f>+K9-H10</f>
        <v>78.426600000000008</v>
      </c>
    </row>
    <row r="11" spans="1:11" x14ac:dyDescent="0.25">
      <c r="A11" s="5"/>
      <c r="B11" s="2"/>
      <c r="C11" s="2"/>
      <c r="D11" s="3"/>
      <c r="E11" s="2"/>
      <c r="F11" s="2"/>
      <c r="G11" s="3"/>
      <c r="H11" s="2"/>
      <c r="I11" s="2"/>
      <c r="J11" s="3"/>
      <c r="K11" s="3"/>
    </row>
    <row r="12" spans="1:11" x14ac:dyDescent="0.25">
      <c r="A12" s="5"/>
      <c r="B12" s="2"/>
      <c r="C12" s="2"/>
      <c r="D12" s="3"/>
      <c r="E12" s="2"/>
      <c r="F12" s="2"/>
      <c r="G12" s="3"/>
      <c r="H12" s="3"/>
      <c r="I12" s="2"/>
      <c r="J12" s="3"/>
      <c r="K12" s="3"/>
    </row>
    <row r="15" spans="1:11" ht="15.75" x14ac:dyDescent="0.25">
      <c r="A15" s="456" t="s">
        <v>10</v>
      </c>
      <c r="B15" s="456"/>
      <c r="C15" s="456"/>
      <c r="D15" s="456"/>
      <c r="E15" s="456"/>
      <c r="F15" s="456"/>
      <c r="G15" s="456"/>
      <c r="H15" s="456"/>
      <c r="I15" s="456"/>
      <c r="J15" s="456"/>
      <c r="K15" s="456"/>
    </row>
    <row r="16" spans="1:11" ht="15.75" x14ac:dyDescent="0.25">
      <c r="A16" s="456" t="s">
        <v>11</v>
      </c>
      <c r="B16" s="456"/>
      <c r="C16" s="456"/>
      <c r="D16" s="456"/>
      <c r="E16" s="456"/>
      <c r="F16" s="456"/>
      <c r="G16" s="456"/>
      <c r="H16" s="456"/>
      <c r="I16" s="456"/>
      <c r="J16" s="456"/>
      <c r="K16" s="456"/>
    </row>
    <row r="17" spans="1:11" x14ac:dyDescent="0.25">
      <c r="A17" s="2" t="s">
        <v>8</v>
      </c>
      <c r="B17" s="465" t="s">
        <v>159</v>
      </c>
      <c r="C17" s="466"/>
      <c r="D17" s="466"/>
      <c r="E17" s="467"/>
      <c r="F17" s="9" t="s">
        <v>48</v>
      </c>
      <c r="G17" s="468" t="s">
        <v>49</v>
      </c>
      <c r="H17" s="469"/>
      <c r="I17" s="469"/>
      <c r="J17" s="469"/>
      <c r="K17" s="470"/>
    </row>
    <row r="18" spans="1:11" x14ac:dyDescent="0.25">
      <c r="A18" s="4" t="s">
        <v>9</v>
      </c>
      <c r="B18" s="471" t="s">
        <v>66</v>
      </c>
      <c r="C18" s="471"/>
      <c r="D18" s="471"/>
      <c r="E18" s="471"/>
      <c r="F18" s="11" t="s">
        <v>50</v>
      </c>
      <c r="G18" s="471" t="s">
        <v>73</v>
      </c>
      <c r="H18" s="471"/>
      <c r="I18" s="471"/>
      <c r="J18" s="471"/>
      <c r="K18" s="471"/>
    </row>
    <row r="19" spans="1:11" x14ac:dyDescent="0.25">
      <c r="A19" s="464" t="s">
        <v>0</v>
      </c>
      <c r="B19" s="464" t="s">
        <v>1</v>
      </c>
      <c r="C19" s="464" t="s">
        <v>2</v>
      </c>
      <c r="D19" s="464"/>
      <c r="E19" s="464"/>
      <c r="F19" s="464" t="s">
        <v>3</v>
      </c>
      <c r="G19" s="464"/>
      <c r="H19" s="464"/>
      <c r="I19" s="464" t="s">
        <v>4</v>
      </c>
      <c r="J19" s="464"/>
      <c r="K19" s="464"/>
    </row>
    <row r="20" spans="1:11" x14ac:dyDescent="0.25">
      <c r="A20" s="464"/>
      <c r="B20" s="464"/>
      <c r="C20" s="2" t="s">
        <v>5</v>
      </c>
      <c r="D20" s="3" t="s">
        <v>6</v>
      </c>
      <c r="E20" s="2" t="s">
        <v>7</v>
      </c>
      <c r="F20" s="2" t="s">
        <v>5</v>
      </c>
      <c r="G20" s="3" t="s">
        <v>6</v>
      </c>
      <c r="H20" s="2" t="s">
        <v>7</v>
      </c>
      <c r="I20" s="2" t="s">
        <v>5</v>
      </c>
      <c r="J20" s="3" t="s">
        <v>6</v>
      </c>
      <c r="K20" s="2" t="s">
        <v>7</v>
      </c>
    </row>
    <row r="21" spans="1:11" x14ac:dyDescent="0.25">
      <c r="A21" s="1"/>
      <c r="B21" s="1" t="s">
        <v>42</v>
      </c>
      <c r="C21" s="1"/>
      <c r="D21" s="34"/>
      <c r="E21" s="1"/>
      <c r="F21" s="1"/>
      <c r="G21" s="34"/>
      <c r="H21" s="1"/>
      <c r="I21" s="1">
        <v>0</v>
      </c>
      <c r="J21" s="34">
        <v>0</v>
      </c>
      <c r="K21" s="1">
        <v>0</v>
      </c>
    </row>
    <row r="22" spans="1:11" ht="15.75" x14ac:dyDescent="0.25">
      <c r="A22" s="7">
        <v>42009</v>
      </c>
      <c r="B22" s="8" t="s">
        <v>43</v>
      </c>
      <c r="C22" s="6">
        <v>3000</v>
      </c>
      <c r="D22" s="27">
        <f>+E22/C22</f>
        <v>4.4999999999999998E-2</v>
      </c>
      <c r="E22" s="8">
        <v>135</v>
      </c>
      <c r="F22" s="8"/>
      <c r="G22" s="27"/>
      <c r="H22" s="8"/>
      <c r="I22" s="6">
        <f>+I21+C22</f>
        <v>3000</v>
      </c>
      <c r="J22" s="27">
        <f>+K22/I22</f>
        <v>4.4999999999999998E-2</v>
      </c>
      <c r="K22" s="8">
        <f>+K21+E22</f>
        <v>135</v>
      </c>
    </row>
    <row r="23" spans="1:11" ht="15.75" x14ac:dyDescent="0.25">
      <c r="A23" s="106">
        <v>42284</v>
      </c>
      <c r="B23" s="107" t="s">
        <v>330</v>
      </c>
      <c r="C23" s="107"/>
      <c r="D23" s="107"/>
      <c r="E23" s="107"/>
      <c r="F23" s="107">
        <v>1.5</v>
      </c>
      <c r="G23" s="108">
        <f>+J22</f>
        <v>4.4999999999999998E-2</v>
      </c>
      <c r="H23" s="108">
        <f>+G23*F23</f>
        <v>6.7500000000000004E-2</v>
      </c>
      <c r="I23" s="107">
        <f>+I22-F23</f>
        <v>2998.5</v>
      </c>
      <c r="J23" s="108">
        <f>+K23/I23</f>
        <v>4.4999999999999998E-2</v>
      </c>
      <c r="K23" s="108">
        <f>+K22-H23</f>
        <v>134.9325</v>
      </c>
    </row>
    <row r="24" spans="1:11" ht="30" x14ac:dyDescent="0.25">
      <c r="A24" s="307"/>
      <c r="B24" s="309" t="s">
        <v>516</v>
      </c>
      <c r="C24" s="222"/>
      <c r="D24" s="223"/>
      <c r="E24" s="222"/>
      <c r="F24" s="222">
        <v>1.5</v>
      </c>
      <c r="G24" s="223">
        <f>+G23</f>
        <v>4.4999999999999998E-2</v>
      </c>
      <c r="H24" s="223">
        <f>+G24*F24</f>
        <v>6.7500000000000004E-2</v>
      </c>
      <c r="I24" s="222">
        <f>+I23-F24</f>
        <v>2997</v>
      </c>
      <c r="J24" s="223">
        <f>+K24/I24</f>
        <v>4.5000000000000005E-2</v>
      </c>
      <c r="K24" s="223">
        <f>+K23-H24</f>
        <v>134.86500000000001</v>
      </c>
    </row>
    <row r="25" spans="1:11" ht="30" x14ac:dyDescent="0.25">
      <c r="A25" s="307"/>
      <c r="B25" s="309" t="s">
        <v>532</v>
      </c>
      <c r="C25" s="222"/>
      <c r="D25" s="223"/>
      <c r="E25" s="222"/>
      <c r="F25" s="222">
        <v>1.5</v>
      </c>
      <c r="G25" s="223">
        <f>+G24</f>
        <v>4.4999999999999998E-2</v>
      </c>
      <c r="H25" s="223">
        <f>+G25*F25</f>
        <v>6.7500000000000004E-2</v>
      </c>
      <c r="I25" s="222">
        <f>+I24-F25</f>
        <v>2995.5</v>
      </c>
      <c r="J25" s="223">
        <f>+K25/I25</f>
        <v>4.5000000000000005E-2</v>
      </c>
      <c r="K25" s="223">
        <f>+K24-H25</f>
        <v>134.79750000000001</v>
      </c>
    </row>
    <row r="26" spans="1:11" ht="30" x14ac:dyDescent="0.25">
      <c r="A26" s="307"/>
      <c r="B26" s="309" t="s">
        <v>610</v>
      </c>
      <c r="C26" s="222"/>
      <c r="D26" s="223"/>
      <c r="E26" s="222"/>
      <c r="F26" s="222">
        <v>1.5</v>
      </c>
      <c r="G26" s="223">
        <f>+G25</f>
        <v>4.4999999999999998E-2</v>
      </c>
      <c r="H26" s="223">
        <f>+G26*F26</f>
        <v>6.7500000000000004E-2</v>
      </c>
      <c r="I26" s="222">
        <f>+I25-F26</f>
        <v>2994</v>
      </c>
      <c r="J26" s="223">
        <f>+K26/I26</f>
        <v>4.5000000000000005E-2</v>
      </c>
      <c r="K26" s="223">
        <f>+K25-H26</f>
        <v>134.73000000000002</v>
      </c>
    </row>
    <row r="30" spans="1:11" ht="15.75" x14ac:dyDescent="0.25">
      <c r="A30" s="456" t="s">
        <v>10</v>
      </c>
      <c r="B30" s="456"/>
      <c r="C30" s="456"/>
      <c r="D30" s="456"/>
      <c r="E30" s="456"/>
      <c r="F30" s="456"/>
      <c r="G30" s="456"/>
      <c r="H30" s="456"/>
      <c r="I30" s="456"/>
      <c r="J30" s="456"/>
      <c r="K30" s="456"/>
    </row>
    <row r="31" spans="1:11" ht="15.75" x14ac:dyDescent="0.25">
      <c r="A31" s="456" t="s">
        <v>11</v>
      </c>
      <c r="B31" s="456"/>
      <c r="C31" s="456"/>
      <c r="D31" s="456"/>
      <c r="E31" s="456"/>
      <c r="F31" s="456"/>
      <c r="G31" s="456"/>
      <c r="H31" s="456"/>
      <c r="I31" s="456"/>
      <c r="J31" s="456"/>
      <c r="K31" s="456"/>
    </row>
    <row r="32" spans="1:11" x14ac:dyDescent="0.25">
      <c r="A32" s="2" t="s">
        <v>8</v>
      </c>
      <c r="B32" s="465" t="s">
        <v>160</v>
      </c>
      <c r="C32" s="466"/>
      <c r="D32" s="466"/>
      <c r="E32" s="467"/>
      <c r="F32" s="9" t="s">
        <v>48</v>
      </c>
      <c r="G32" s="468" t="s">
        <v>49</v>
      </c>
      <c r="H32" s="469"/>
      <c r="I32" s="469"/>
      <c r="J32" s="469"/>
      <c r="K32" s="470"/>
    </row>
    <row r="33" spans="1:11" x14ac:dyDescent="0.25">
      <c r="A33" s="4" t="s">
        <v>9</v>
      </c>
      <c r="B33" s="471" t="s">
        <v>66</v>
      </c>
      <c r="C33" s="471"/>
      <c r="D33" s="471"/>
      <c r="E33" s="471"/>
      <c r="F33" s="11" t="s">
        <v>50</v>
      </c>
      <c r="G33" s="471" t="s">
        <v>121</v>
      </c>
      <c r="H33" s="471"/>
      <c r="I33" s="471"/>
      <c r="J33" s="471"/>
      <c r="K33" s="471"/>
    </row>
    <row r="34" spans="1:11" x14ac:dyDescent="0.25">
      <c r="A34" s="464" t="s">
        <v>0</v>
      </c>
      <c r="B34" s="464" t="s">
        <v>1</v>
      </c>
      <c r="C34" s="464" t="s">
        <v>2</v>
      </c>
      <c r="D34" s="464"/>
      <c r="E34" s="464"/>
      <c r="F34" s="464" t="s">
        <v>3</v>
      </c>
      <c r="G34" s="464"/>
      <c r="H34" s="464"/>
      <c r="I34" s="464" t="s">
        <v>4</v>
      </c>
      <c r="J34" s="464"/>
      <c r="K34" s="464"/>
    </row>
    <row r="35" spans="1:11" x14ac:dyDescent="0.25">
      <c r="A35" s="464"/>
      <c r="B35" s="464"/>
      <c r="C35" s="2" t="s">
        <v>5</v>
      </c>
      <c r="D35" s="3" t="s">
        <v>6</v>
      </c>
      <c r="E35" s="2" t="s">
        <v>7</v>
      </c>
      <c r="F35" s="2" t="s">
        <v>5</v>
      </c>
      <c r="G35" s="3" t="s">
        <v>6</v>
      </c>
      <c r="H35" s="2" t="s">
        <v>7</v>
      </c>
      <c r="I35" s="2" t="s">
        <v>5</v>
      </c>
      <c r="J35" s="3" t="s">
        <v>6</v>
      </c>
      <c r="K35" s="2" t="s">
        <v>7</v>
      </c>
    </row>
    <row r="36" spans="1:11" x14ac:dyDescent="0.25">
      <c r="A36" s="1"/>
      <c r="B36" s="1" t="s">
        <v>42</v>
      </c>
      <c r="C36" s="1"/>
      <c r="D36" s="34"/>
      <c r="E36" s="1"/>
      <c r="F36" s="1"/>
      <c r="G36" s="34"/>
      <c r="H36" s="1"/>
      <c r="I36" s="1">
        <v>0</v>
      </c>
      <c r="J36" s="34">
        <v>0</v>
      </c>
      <c r="K36" s="1">
        <v>0</v>
      </c>
    </row>
    <row r="37" spans="1:11" ht="15.75" x14ac:dyDescent="0.25">
      <c r="A37" s="7">
        <v>42009</v>
      </c>
      <c r="B37" s="8" t="s">
        <v>43</v>
      </c>
      <c r="C37" s="6">
        <v>1000</v>
      </c>
      <c r="D37" s="27">
        <f>+E37/C37</f>
        <v>2.631E-2</v>
      </c>
      <c r="E37" s="8">
        <v>26.31</v>
      </c>
      <c r="F37" s="8"/>
      <c r="G37" s="27"/>
      <c r="H37" s="8"/>
      <c r="I37" s="6">
        <f>+I36+C37</f>
        <v>1000</v>
      </c>
      <c r="J37" s="27">
        <f>+K37/I37</f>
        <v>2.631E-2</v>
      </c>
      <c r="K37" s="8">
        <f>+K36+E37</f>
        <v>26.31</v>
      </c>
    </row>
    <row r="38" spans="1:11" ht="30" x14ac:dyDescent="0.25">
      <c r="A38" s="307"/>
      <c r="B38" s="309" t="s">
        <v>516</v>
      </c>
      <c r="C38" s="222"/>
      <c r="D38" s="223"/>
      <c r="E38" s="222"/>
      <c r="F38" s="222">
        <v>3</v>
      </c>
      <c r="G38" s="223">
        <f>+J37</f>
        <v>2.631E-2</v>
      </c>
      <c r="H38" s="223">
        <f>+G38*F38</f>
        <v>7.893E-2</v>
      </c>
      <c r="I38" s="222">
        <f>+I37-F38</f>
        <v>997</v>
      </c>
      <c r="J38" s="223">
        <f>+K38/I38</f>
        <v>2.631E-2</v>
      </c>
      <c r="K38" s="223">
        <f>+K37-H38</f>
        <v>26.231069999999999</v>
      </c>
    </row>
    <row r="39" spans="1:11" x14ac:dyDescent="0.25">
      <c r="A39" s="5"/>
      <c r="B39" s="2"/>
      <c r="C39" s="2"/>
      <c r="D39" s="3"/>
      <c r="E39" s="2"/>
      <c r="F39" s="2"/>
      <c r="G39" s="3"/>
      <c r="H39" s="2"/>
      <c r="I39" s="2"/>
      <c r="J39" s="3"/>
      <c r="K39" s="3"/>
    </row>
    <row r="40" spans="1:11" x14ac:dyDescent="0.25">
      <c r="A40" s="5"/>
      <c r="B40" s="2"/>
      <c r="C40" s="2"/>
      <c r="D40" s="3"/>
      <c r="E40" s="2"/>
      <c r="F40" s="2"/>
      <c r="G40" s="3"/>
      <c r="H40" s="3"/>
      <c r="I40" s="2"/>
      <c r="J40" s="3"/>
      <c r="K40" s="3"/>
    </row>
    <row r="43" spans="1:11" ht="15.75" x14ac:dyDescent="0.25">
      <c r="A43" s="456" t="s">
        <v>10</v>
      </c>
      <c r="B43" s="456"/>
      <c r="C43" s="456"/>
      <c r="D43" s="456"/>
      <c r="E43" s="456"/>
      <c r="F43" s="456"/>
      <c r="G43" s="456"/>
      <c r="H43" s="456"/>
      <c r="I43" s="456"/>
      <c r="J43" s="456"/>
      <c r="K43" s="456"/>
    </row>
    <row r="44" spans="1:11" ht="15.75" x14ac:dyDescent="0.25">
      <c r="A44" s="456" t="s">
        <v>11</v>
      </c>
      <c r="B44" s="456"/>
      <c r="C44" s="456"/>
      <c r="D44" s="456"/>
      <c r="E44" s="456"/>
      <c r="F44" s="456"/>
      <c r="G44" s="456"/>
      <c r="H44" s="456"/>
      <c r="I44" s="456"/>
      <c r="J44" s="456"/>
      <c r="K44" s="456"/>
    </row>
    <row r="45" spans="1:11" x14ac:dyDescent="0.25">
      <c r="A45" s="2" t="s">
        <v>8</v>
      </c>
      <c r="B45" s="465" t="s">
        <v>162</v>
      </c>
      <c r="C45" s="466"/>
      <c r="D45" s="466"/>
      <c r="E45" s="467"/>
      <c r="F45" s="9" t="s">
        <v>48</v>
      </c>
      <c r="G45" s="468" t="s">
        <v>49</v>
      </c>
      <c r="H45" s="469"/>
      <c r="I45" s="469"/>
      <c r="J45" s="469"/>
      <c r="K45" s="470"/>
    </row>
    <row r="46" spans="1:11" x14ac:dyDescent="0.25">
      <c r="A46" s="4" t="s">
        <v>9</v>
      </c>
      <c r="B46" s="471" t="s">
        <v>66</v>
      </c>
      <c r="C46" s="471"/>
      <c r="D46" s="471"/>
      <c r="E46" s="471"/>
      <c r="F46" s="11" t="s">
        <v>50</v>
      </c>
      <c r="G46" s="471" t="s">
        <v>121</v>
      </c>
      <c r="H46" s="471"/>
      <c r="I46" s="471"/>
      <c r="J46" s="471"/>
      <c r="K46" s="471"/>
    </row>
    <row r="47" spans="1:11" x14ac:dyDescent="0.25">
      <c r="A47" s="464" t="s">
        <v>0</v>
      </c>
      <c r="B47" s="464" t="s">
        <v>1</v>
      </c>
      <c r="C47" s="464" t="s">
        <v>2</v>
      </c>
      <c r="D47" s="464"/>
      <c r="E47" s="464"/>
      <c r="F47" s="464" t="s">
        <v>3</v>
      </c>
      <c r="G47" s="464"/>
      <c r="H47" s="464"/>
      <c r="I47" s="464" t="s">
        <v>4</v>
      </c>
      <c r="J47" s="464"/>
      <c r="K47" s="464"/>
    </row>
    <row r="48" spans="1:11" x14ac:dyDescent="0.25">
      <c r="A48" s="464"/>
      <c r="B48" s="464"/>
      <c r="C48" s="2" t="s">
        <v>5</v>
      </c>
      <c r="D48" s="3" t="s">
        <v>6</v>
      </c>
      <c r="E48" s="2" t="s">
        <v>7</v>
      </c>
      <c r="F48" s="2" t="s">
        <v>5</v>
      </c>
      <c r="G48" s="3" t="s">
        <v>6</v>
      </c>
      <c r="H48" s="2" t="s">
        <v>7</v>
      </c>
      <c r="I48" s="2" t="s">
        <v>5</v>
      </c>
      <c r="J48" s="3" t="s">
        <v>6</v>
      </c>
      <c r="K48" s="2" t="s">
        <v>7</v>
      </c>
    </row>
    <row r="49" spans="1:11" x14ac:dyDescent="0.25">
      <c r="A49" s="1"/>
      <c r="B49" s="1" t="s">
        <v>42</v>
      </c>
      <c r="C49" s="1"/>
      <c r="D49" s="34"/>
      <c r="E49" s="1"/>
      <c r="F49" s="1"/>
      <c r="G49" s="34"/>
      <c r="H49" s="1"/>
      <c r="I49" s="1">
        <v>0</v>
      </c>
      <c r="J49" s="34">
        <v>0</v>
      </c>
      <c r="K49" s="1">
        <v>0</v>
      </c>
    </row>
    <row r="50" spans="1:11" ht="15.75" x14ac:dyDescent="0.25">
      <c r="A50" s="7">
        <v>42009</v>
      </c>
      <c r="B50" s="8" t="s">
        <v>43</v>
      </c>
      <c r="C50" s="6">
        <v>1000</v>
      </c>
      <c r="D50" s="27">
        <f>+E50/C50</f>
        <v>2.631E-2</v>
      </c>
      <c r="E50" s="8">
        <v>26.31</v>
      </c>
      <c r="F50" s="8"/>
      <c r="G50" s="27"/>
      <c r="H50" s="8"/>
      <c r="I50" s="6">
        <f>+I49+C50</f>
        <v>1000</v>
      </c>
      <c r="J50" s="27">
        <f>+K50/I50</f>
        <v>2.631E-2</v>
      </c>
      <c r="K50" s="8">
        <f>+K49+E50</f>
        <v>26.31</v>
      </c>
    </row>
    <row r="51" spans="1:11" ht="30" x14ac:dyDescent="0.25">
      <c r="A51" s="307"/>
      <c r="B51" s="309" t="s">
        <v>516</v>
      </c>
      <c r="C51" s="222"/>
      <c r="D51" s="223"/>
      <c r="E51" s="222"/>
      <c r="F51" s="222">
        <v>3</v>
      </c>
      <c r="G51" s="223">
        <f>+J50</f>
        <v>2.631E-2</v>
      </c>
      <c r="H51" s="222">
        <f>+G51*F51</f>
        <v>7.893E-2</v>
      </c>
      <c r="I51" s="222">
        <f>+I50-F51</f>
        <v>997</v>
      </c>
      <c r="J51" s="223">
        <f>+K51/I51</f>
        <v>2.631E-2</v>
      </c>
      <c r="K51" s="223">
        <f>+K50-H51</f>
        <v>26.231069999999999</v>
      </c>
    </row>
    <row r="52" spans="1:11" x14ac:dyDescent="0.25">
      <c r="A52" s="5"/>
      <c r="B52" s="2"/>
      <c r="C52" s="2"/>
      <c r="D52" s="3"/>
      <c r="E52" s="2"/>
      <c r="F52" s="2"/>
      <c r="G52" s="3"/>
      <c r="H52" s="2"/>
      <c r="I52" s="2"/>
      <c r="J52" s="3"/>
      <c r="K52" s="3"/>
    </row>
    <row r="53" spans="1:11" x14ac:dyDescent="0.25">
      <c r="A53" s="5"/>
      <c r="B53" s="2"/>
      <c r="C53" s="2"/>
      <c r="D53" s="3"/>
      <c r="E53" s="2"/>
      <c r="F53" s="2"/>
      <c r="G53" s="3"/>
      <c r="H53" s="3"/>
      <c r="I53" s="2"/>
      <c r="J53" s="3"/>
      <c r="K53" s="3"/>
    </row>
    <row r="56" spans="1:11" ht="15.75" x14ac:dyDescent="0.25">
      <c r="A56" s="456" t="s">
        <v>10</v>
      </c>
      <c r="B56" s="456"/>
      <c r="C56" s="456"/>
      <c r="D56" s="456"/>
      <c r="E56" s="456"/>
      <c r="F56" s="456"/>
      <c r="G56" s="456"/>
      <c r="H56" s="456"/>
      <c r="I56" s="456"/>
      <c r="J56" s="456"/>
      <c r="K56" s="456"/>
    </row>
    <row r="57" spans="1:11" ht="15.75" x14ac:dyDescent="0.25">
      <c r="A57" s="456" t="s">
        <v>11</v>
      </c>
      <c r="B57" s="456"/>
      <c r="C57" s="456"/>
      <c r="D57" s="456"/>
      <c r="E57" s="456"/>
      <c r="F57" s="456"/>
      <c r="G57" s="456"/>
      <c r="H57" s="456"/>
      <c r="I57" s="456"/>
      <c r="J57" s="456"/>
      <c r="K57" s="456"/>
    </row>
    <row r="58" spans="1:11" x14ac:dyDescent="0.25">
      <c r="A58" s="2" t="s">
        <v>8</v>
      </c>
      <c r="B58" s="465" t="s">
        <v>163</v>
      </c>
      <c r="C58" s="466"/>
      <c r="D58" s="466"/>
      <c r="E58" s="467"/>
      <c r="F58" s="9" t="s">
        <v>48</v>
      </c>
      <c r="G58" s="468" t="s">
        <v>49</v>
      </c>
      <c r="H58" s="469"/>
      <c r="I58" s="469"/>
      <c r="J58" s="469"/>
      <c r="K58" s="470"/>
    </row>
    <row r="59" spans="1:11" x14ac:dyDescent="0.25">
      <c r="A59" s="4" t="s">
        <v>9</v>
      </c>
      <c r="B59" s="471" t="s">
        <v>66</v>
      </c>
      <c r="C59" s="471"/>
      <c r="D59" s="471"/>
      <c r="E59" s="471"/>
      <c r="F59" s="11" t="s">
        <v>50</v>
      </c>
      <c r="G59" s="471" t="s">
        <v>67</v>
      </c>
      <c r="H59" s="471"/>
      <c r="I59" s="471"/>
      <c r="J59" s="471"/>
      <c r="K59" s="471"/>
    </row>
    <row r="60" spans="1:11" x14ac:dyDescent="0.25">
      <c r="A60" s="464" t="s">
        <v>0</v>
      </c>
      <c r="B60" s="464" t="s">
        <v>1</v>
      </c>
      <c r="C60" s="464" t="s">
        <v>2</v>
      </c>
      <c r="D60" s="464"/>
      <c r="E60" s="464"/>
      <c r="F60" s="464" t="s">
        <v>3</v>
      </c>
      <c r="G60" s="464"/>
      <c r="H60" s="464"/>
      <c r="I60" s="464" t="s">
        <v>4</v>
      </c>
      <c r="J60" s="464"/>
      <c r="K60" s="464"/>
    </row>
    <row r="61" spans="1:11" x14ac:dyDescent="0.25">
      <c r="A61" s="464"/>
      <c r="B61" s="464"/>
      <c r="C61" s="2" t="s">
        <v>5</v>
      </c>
      <c r="D61" s="3" t="s">
        <v>6</v>
      </c>
      <c r="E61" s="2" t="s">
        <v>7</v>
      </c>
      <c r="F61" s="2" t="s">
        <v>5</v>
      </c>
      <c r="G61" s="3" t="s">
        <v>6</v>
      </c>
      <c r="H61" s="2" t="s">
        <v>7</v>
      </c>
      <c r="I61" s="2" t="s">
        <v>5</v>
      </c>
      <c r="J61" s="3" t="s">
        <v>6</v>
      </c>
      <c r="K61" s="2" t="s">
        <v>7</v>
      </c>
    </row>
    <row r="62" spans="1:11" x14ac:dyDescent="0.25">
      <c r="A62" s="1"/>
      <c r="B62" s="1" t="s">
        <v>42</v>
      </c>
      <c r="C62" s="1"/>
      <c r="D62" s="34"/>
      <c r="E62" s="1"/>
      <c r="F62" s="1"/>
      <c r="G62" s="34"/>
      <c r="H62" s="1"/>
      <c r="I62" s="1">
        <v>0</v>
      </c>
      <c r="J62" s="34">
        <v>0</v>
      </c>
      <c r="K62" s="1">
        <v>0</v>
      </c>
    </row>
    <row r="63" spans="1:11" ht="15.75" x14ac:dyDescent="0.25">
      <c r="A63" s="7">
        <v>42009</v>
      </c>
      <c r="B63" s="8" t="s">
        <v>43</v>
      </c>
      <c r="C63" s="6">
        <v>1500</v>
      </c>
      <c r="D63" s="27">
        <f>+E63/C63</f>
        <v>4.8600000000000004E-2</v>
      </c>
      <c r="E63" s="8">
        <v>72.900000000000006</v>
      </c>
      <c r="F63" s="8"/>
      <c r="G63" s="27"/>
      <c r="H63" s="8"/>
      <c r="I63" s="6">
        <f>+I62+C63</f>
        <v>1500</v>
      </c>
      <c r="J63" s="27">
        <f>+K63/I63</f>
        <v>4.8600000000000004E-2</v>
      </c>
      <c r="K63" s="8">
        <f>+K62+E63</f>
        <v>72.900000000000006</v>
      </c>
    </row>
    <row r="64" spans="1:11" ht="30" x14ac:dyDescent="0.25">
      <c r="A64" s="307"/>
      <c r="B64" s="309" t="s">
        <v>533</v>
      </c>
      <c r="C64" s="222"/>
      <c r="D64" s="223"/>
      <c r="E64" s="222"/>
      <c r="F64" s="222">
        <v>3</v>
      </c>
      <c r="G64" s="223">
        <f>+J63</f>
        <v>4.8600000000000004E-2</v>
      </c>
      <c r="H64" s="222">
        <f>+G64*F64</f>
        <v>0.14580000000000001</v>
      </c>
      <c r="I64" s="222">
        <f>+I63-F64</f>
        <v>1497</v>
      </c>
      <c r="J64" s="223">
        <f>+K64/I64</f>
        <v>4.8600000000000004E-2</v>
      </c>
      <c r="K64" s="223">
        <f>+K63-H64</f>
        <v>72.754200000000012</v>
      </c>
    </row>
    <row r="65" spans="1:11" x14ac:dyDescent="0.25">
      <c r="A65" s="5"/>
      <c r="B65" s="2"/>
      <c r="C65" s="2"/>
      <c r="D65" s="3"/>
      <c r="E65" s="2"/>
      <c r="F65" s="2"/>
      <c r="G65" s="3"/>
      <c r="H65" s="3"/>
      <c r="I65" s="2"/>
      <c r="J65" s="3"/>
      <c r="K65" s="3"/>
    </row>
    <row r="68" spans="1:11" ht="15.75" x14ac:dyDescent="0.25">
      <c r="A68" s="456" t="s">
        <v>10</v>
      </c>
      <c r="B68" s="456"/>
      <c r="C68" s="456"/>
      <c r="D68" s="456"/>
      <c r="E68" s="456"/>
      <c r="F68" s="456"/>
      <c r="G68" s="456"/>
      <c r="H68" s="456"/>
      <c r="I68" s="456"/>
      <c r="J68" s="456"/>
      <c r="K68" s="456"/>
    </row>
    <row r="69" spans="1:11" ht="15.75" x14ac:dyDescent="0.25">
      <c r="A69" s="456" t="s">
        <v>11</v>
      </c>
      <c r="B69" s="456"/>
      <c r="C69" s="456"/>
      <c r="D69" s="456"/>
      <c r="E69" s="456"/>
      <c r="F69" s="456"/>
      <c r="G69" s="456"/>
      <c r="H69" s="456"/>
      <c r="I69" s="456"/>
      <c r="J69" s="456"/>
      <c r="K69" s="456"/>
    </row>
    <row r="70" spans="1:11" x14ac:dyDescent="0.25">
      <c r="A70" s="2" t="s">
        <v>8</v>
      </c>
      <c r="B70" s="465" t="s">
        <v>164</v>
      </c>
      <c r="C70" s="466"/>
      <c r="D70" s="466"/>
      <c r="E70" s="467"/>
      <c r="F70" s="9" t="s">
        <v>48</v>
      </c>
      <c r="G70" s="468" t="s">
        <v>49</v>
      </c>
      <c r="H70" s="469"/>
      <c r="I70" s="469"/>
      <c r="J70" s="469"/>
      <c r="K70" s="470"/>
    </row>
    <row r="71" spans="1:11" x14ac:dyDescent="0.25">
      <c r="A71" s="4" t="s">
        <v>9</v>
      </c>
      <c r="B71" s="471" t="s">
        <v>66</v>
      </c>
      <c r="C71" s="471"/>
      <c r="D71" s="471"/>
      <c r="E71" s="471"/>
      <c r="F71" s="11" t="s">
        <v>50</v>
      </c>
      <c r="G71" s="471" t="s">
        <v>67</v>
      </c>
      <c r="H71" s="471"/>
      <c r="I71" s="471"/>
      <c r="J71" s="471"/>
      <c r="K71" s="471"/>
    </row>
    <row r="72" spans="1:11" x14ac:dyDescent="0.25">
      <c r="A72" s="464" t="s">
        <v>0</v>
      </c>
      <c r="B72" s="464" t="s">
        <v>1</v>
      </c>
      <c r="C72" s="464" t="s">
        <v>2</v>
      </c>
      <c r="D72" s="464"/>
      <c r="E72" s="464"/>
      <c r="F72" s="464" t="s">
        <v>3</v>
      </c>
      <c r="G72" s="464"/>
      <c r="H72" s="464"/>
      <c r="I72" s="464" t="s">
        <v>4</v>
      </c>
      <c r="J72" s="464"/>
      <c r="K72" s="464"/>
    </row>
    <row r="73" spans="1:11" x14ac:dyDescent="0.25">
      <c r="A73" s="464"/>
      <c r="B73" s="464"/>
      <c r="C73" s="2" t="s">
        <v>5</v>
      </c>
      <c r="D73" s="3" t="s">
        <v>6</v>
      </c>
      <c r="E73" s="2" t="s">
        <v>7</v>
      </c>
      <c r="F73" s="2" t="s">
        <v>5</v>
      </c>
      <c r="G73" s="3" t="s">
        <v>6</v>
      </c>
      <c r="H73" s="2" t="s">
        <v>7</v>
      </c>
      <c r="I73" s="2" t="s">
        <v>5</v>
      </c>
      <c r="J73" s="3" t="s">
        <v>6</v>
      </c>
      <c r="K73" s="2" t="s">
        <v>7</v>
      </c>
    </row>
    <row r="74" spans="1:11" x14ac:dyDescent="0.25">
      <c r="A74" s="1"/>
      <c r="B74" s="1" t="s">
        <v>42</v>
      </c>
      <c r="C74" s="1"/>
      <c r="D74" s="34"/>
      <c r="E74" s="1"/>
      <c r="F74" s="1"/>
      <c r="G74" s="34"/>
      <c r="H74" s="1"/>
      <c r="I74" s="1">
        <v>0</v>
      </c>
      <c r="J74" s="34">
        <v>0</v>
      </c>
      <c r="K74" s="1">
        <v>0</v>
      </c>
    </row>
    <row r="75" spans="1:11" ht="15.75" x14ac:dyDescent="0.25">
      <c r="A75" s="7">
        <v>42009</v>
      </c>
      <c r="B75" s="8" t="s">
        <v>43</v>
      </c>
      <c r="C75" s="6">
        <v>1500</v>
      </c>
      <c r="D75" s="27">
        <f>+E75/C75</f>
        <v>3.6639999999999999E-2</v>
      </c>
      <c r="E75" s="8">
        <v>54.96</v>
      </c>
      <c r="F75" s="8"/>
      <c r="G75" s="27"/>
      <c r="H75" s="8"/>
      <c r="I75" s="6">
        <f>+I74+C75</f>
        <v>1500</v>
      </c>
      <c r="J75" s="27">
        <f>+K75/I75</f>
        <v>3.6639999999999999E-2</v>
      </c>
      <c r="K75" s="8">
        <f>+K74+E75</f>
        <v>54.96</v>
      </c>
    </row>
    <row r="76" spans="1:11" ht="30" x14ac:dyDescent="0.25">
      <c r="A76" s="307"/>
      <c r="B76" s="309" t="s">
        <v>533</v>
      </c>
      <c r="C76" s="222"/>
      <c r="D76" s="223"/>
      <c r="E76" s="222"/>
      <c r="F76" s="222">
        <v>3</v>
      </c>
      <c r="G76" s="223">
        <f>+J75</f>
        <v>3.6639999999999999E-2</v>
      </c>
      <c r="H76" s="222">
        <f>+G76*F76</f>
        <v>0.10991999999999999</v>
      </c>
      <c r="I76" s="222">
        <f>+I75-F76</f>
        <v>1497</v>
      </c>
      <c r="J76" s="223">
        <f>+K76/I76</f>
        <v>3.6639999999999999E-2</v>
      </c>
      <c r="K76" s="223">
        <f>+K75-H76</f>
        <v>54.850079999999998</v>
      </c>
    </row>
    <row r="77" spans="1:11" x14ac:dyDescent="0.25">
      <c r="A77" s="5"/>
      <c r="B77" s="2"/>
      <c r="C77" s="2"/>
      <c r="D77" s="3"/>
      <c r="E77" s="2"/>
      <c r="F77" s="2"/>
      <c r="G77" s="3"/>
      <c r="H77" s="2"/>
      <c r="I77" s="2"/>
      <c r="J77" s="3"/>
      <c r="K77" s="3"/>
    </row>
    <row r="78" spans="1:11" x14ac:dyDescent="0.25">
      <c r="A78" s="5"/>
      <c r="B78" s="2"/>
      <c r="C78" s="2"/>
      <c r="D78" s="3"/>
      <c r="E78" s="2"/>
      <c r="F78" s="2"/>
      <c r="G78" s="3"/>
      <c r="H78" s="3"/>
      <c r="I78" s="2"/>
      <c r="J78" s="3"/>
      <c r="K78" s="3"/>
    </row>
    <row r="81" spans="1:11" ht="15.75" x14ac:dyDescent="0.25">
      <c r="A81" s="456" t="s">
        <v>10</v>
      </c>
      <c r="B81" s="456"/>
      <c r="C81" s="456"/>
      <c r="D81" s="456"/>
      <c r="E81" s="456"/>
      <c r="F81" s="456"/>
      <c r="G81" s="456"/>
      <c r="H81" s="456"/>
      <c r="I81" s="456"/>
      <c r="J81" s="456"/>
      <c r="K81" s="456"/>
    </row>
    <row r="82" spans="1:11" ht="15.75" x14ac:dyDescent="0.25">
      <c r="A82" s="456" t="s">
        <v>11</v>
      </c>
      <c r="B82" s="456"/>
      <c r="C82" s="456"/>
      <c r="D82" s="456"/>
      <c r="E82" s="456"/>
      <c r="F82" s="456"/>
      <c r="G82" s="456"/>
      <c r="H82" s="456"/>
      <c r="I82" s="456"/>
      <c r="J82" s="456"/>
      <c r="K82" s="456"/>
    </row>
    <row r="83" spans="1:11" x14ac:dyDescent="0.25">
      <c r="A83" s="2" t="s">
        <v>8</v>
      </c>
      <c r="B83" s="465" t="s">
        <v>165</v>
      </c>
      <c r="C83" s="466"/>
      <c r="D83" s="466"/>
      <c r="E83" s="467"/>
      <c r="F83" s="9" t="s">
        <v>48</v>
      </c>
      <c r="G83" s="468" t="s">
        <v>49</v>
      </c>
      <c r="H83" s="469"/>
      <c r="I83" s="469"/>
      <c r="J83" s="469"/>
      <c r="K83" s="470"/>
    </row>
    <row r="84" spans="1:11" x14ac:dyDescent="0.25">
      <c r="A84" s="4" t="s">
        <v>9</v>
      </c>
      <c r="B84" s="471" t="s">
        <v>66</v>
      </c>
      <c r="C84" s="471"/>
      <c r="D84" s="471"/>
      <c r="E84" s="471"/>
      <c r="F84" s="11" t="s">
        <v>50</v>
      </c>
      <c r="G84" s="471" t="s">
        <v>73</v>
      </c>
      <c r="H84" s="471"/>
      <c r="I84" s="471"/>
      <c r="J84" s="471"/>
      <c r="K84" s="471"/>
    </row>
    <row r="85" spans="1:11" x14ac:dyDescent="0.25">
      <c r="A85" s="464" t="s">
        <v>0</v>
      </c>
      <c r="B85" s="464" t="s">
        <v>1</v>
      </c>
      <c r="C85" s="464" t="s">
        <v>2</v>
      </c>
      <c r="D85" s="464"/>
      <c r="E85" s="464"/>
      <c r="F85" s="464" t="s">
        <v>3</v>
      </c>
      <c r="G85" s="464"/>
      <c r="H85" s="464"/>
      <c r="I85" s="464" t="s">
        <v>4</v>
      </c>
      <c r="J85" s="464"/>
      <c r="K85" s="464"/>
    </row>
    <row r="86" spans="1:11" x14ac:dyDescent="0.25">
      <c r="A86" s="464"/>
      <c r="B86" s="464"/>
      <c r="C86" s="2" t="s">
        <v>5</v>
      </c>
      <c r="D86" s="3" t="s">
        <v>6</v>
      </c>
      <c r="E86" s="2" t="s">
        <v>7</v>
      </c>
      <c r="F86" s="2" t="s">
        <v>5</v>
      </c>
      <c r="G86" s="3" t="s">
        <v>6</v>
      </c>
      <c r="H86" s="2" t="s">
        <v>7</v>
      </c>
      <c r="I86" s="2" t="s">
        <v>5</v>
      </c>
      <c r="J86" s="3" t="s">
        <v>6</v>
      </c>
      <c r="K86" s="2" t="s">
        <v>7</v>
      </c>
    </row>
    <row r="87" spans="1:11" x14ac:dyDescent="0.25">
      <c r="A87" s="1"/>
      <c r="B87" s="1" t="s">
        <v>42</v>
      </c>
      <c r="C87" s="1"/>
      <c r="D87" s="34"/>
      <c r="E87" s="1"/>
      <c r="F87" s="1"/>
      <c r="G87" s="34"/>
      <c r="H87" s="1"/>
      <c r="I87" s="1">
        <v>0</v>
      </c>
      <c r="J87" s="34">
        <v>0</v>
      </c>
      <c r="K87" s="1">
        <v>0</v>
      </c>
    </row>
    <row r="88" spans="1:11" ht="15.75" x14ac:dyDescent="0.25">
      <c r="A88" s="7">
        <v>42009</v>
      </c>
      <c r="B88" s="8" t="s">
        <v>43</v>
      </c>
      <c r="C88" s="6">
        <v>2000</v>
      </c>
      <c r="D88" s="27">
        <f>+E88/C88</f>
        <v>3.56E-2</v>
      </c>
      <c r="E88" s="8">
        <v>71.2</v>
      </c>
      <c r="F88" s="8"/>
      <c r="G88" s="27"/>
      <c r="H88" s="8"/>
      <c r="I88" s="6">
        <f>+I87+C88</f>
        <v>2000</v>
      </c>
      <c r="J88" s="27">
        <f>+K88/I88</f>
        <v>3.56E-2</v>
      </c>
      <c r="K88" s="8">
        <f>+K87+E88</f>
        <v>71.2</v>
      </c>
    </row>
    <row r="89" spans="1:11" ht="15.75" x14ac:dyDescent="0.25">
      <c r="A89" s="106">
        <v>42284</v>
      </c>
      <c r="B89" s="107" t="s">
        <v>330</v>
      </c>
      <c r="C89" s="107"/>
      <c r="D89" s="107"/>
      <c r="E89" s="107"/>
      <c r="F89" s="107">
        <v>3</v>
      </c>
      <c r="G89" s="108">
        <f>+J88</f>
        <v>3.56E-2</v>
      </c>
      <c r="H89" s="108">
        <f>+G89*F89</f>
        <v>0.10680000000000001</v>
      </c>
      <c r="I89" s="107">
        <f>+I88-F89</f>
        <v>1997</v>
      </c>
      <c r="J89" s="108">
        <f>+K89/I89</f>
        <v>3.56E-2</v>
      </c>
      <c r="K89" s="108">
        <f>+K88-H89</f>
        <v>71.093199999999996</v>
      </c>
    </row>
    <row r="90" spans="1:11" x14ac:dyDescent="0.25">
      <c r="A90" s="5"/>
      <c r="B90" s="2"/>
      <c r="C90" s="2"/>
      <c r="D90" s="3"/>
      <c r="E90" s="2"/>
      <c r="F90" s="2"/>
      <c r="G90" s="3"/>
      <c r="H90" s="2"/>
      <c r="I90" s="2"/>
      <c r="J90" s="3"/>
      <c r="K90" s="3"/>
    </row>
    <row r="91" spans="1:11" x14ac:dyDescent="0.25">
      <c r="A91" s="5"/>
      <c r="B91" s="2"/>
      <c r="C91" s="2"/>
      <c r="D91" s="3"/>
      <c r="E91" s="2"/>
      <c r="F91" s="2"/>
      <c r="G91" s="3"/>
      <c r="H91" s="2"/>
      <c r="I91" s="2"/>
      <c r="J91" s="3"/>
      <c r="K91" s="3"/>
    </row>
    <row r="92" spans="1:11" x14ac:dyDescent="0.25">
      <c r="A92" s="5"/>
      <c r="B92" s="2"/>
      <c r="C92" s="2"/>
      <c r="D92" s="3"/>
      <c r="E92" s="2"/>
      <c r="F92" s="2"/>
      <c r="G92" s="3"/>
      <c r="H92" s="3"/>
      <c r="I92" s="2"/>
      <c r="J92" s="3"/>
      <c r="K92" s="3"/>
    </row>
    <row r="96" spans="1:11" ht="15.75" x14ac:dyDescent="0.25">
      <c r="A96" s="456" t="s">
        <v>10</v>
      </c>
      <c r="B96" s="456"/>
      <c r="C96" s="456"/>
      <c r="D96" s="456"/>
      <c r="E96" s="456"/>
      <c r="F96" s="456"/>
      <c r="G96" s="456"/>
      <c r="H96" s="456"/>
      <c r="I96" s="456"/>
      <c r="J96" s="456"/>
      <c r="K96" s="456"/>
    </row>
    <row r="97" spans="1:11" ht="15.75" x14ac:dyDescent="0.25">
      <c r="A97" s="456" t="s">
        <v>11</v>
      </c>
      <c r="B97" s="456"/>
      <c r="C97" s="456"/>
      <c r="D97" s="456"/>
      <c r="E97" s="456"/>
      <c r="F97" s="456"/>
      <c r="G97" s="456"/>
      <c r="H97" s="456"/>
      <c r="I97" s="456"/>
      <c r="J97" s="456"/>
      <c r="K97" s="456"/>
    </row>
    <row r="98" spans="1:11" x14ac:dyDescent="0.25">
      <c r="A98" s="2" t="s">
        <v>8</v>
      </c>
      <c r="B98" s="465" t="s">
        <v>167</v>
      </c>
      <c r="C98" s="466"/>
      <c r="D98" s="466"/>
      <c r="E98" s="467"/>
      <c r="F98" s="9" t="s">
        <v>48</v>
      </c>
      <c r="G98" s="468" t="s">
        <v>49</v>
      </c>
      <c r="H98" s="469"/>
      <c r="I98" s="469"/>
      <c r="J98" s="469"/>
      <c r="K98" s="470"/>
    </row>
    <row r="99" spans="1:11" x14ac:dyDescent="0.25">
      <c r="A99" s="4" t="s">
        <v>9</v>
      </c>
      <c r="B99" s="471" t="s">
        <v>66</v>
      </c>
      <c r="C99" s="471"/>
      <c r="D99" s="471"/>
      <c r="E99" s="471"/>
      <c r="F99" s="11" t="s">
        <v>50</v>
      </c>
      <c r="G99" s="471" t="s">
        <v>73</v>
      </c>
      <c r="H99" s="471"/>
      <c r="I99" s="471"/>
      <c r="J99" s="471"/>
      <c r="K99" s="471"/>
    </row>
    <row r="100" spans="1:11" x14ac:dyDescent="0.25">
      <c r="A100" s="464" t="s">
        <v>0</v>
      </c>
      <c r="B100" s="464" t="s">
        <v>1</v>
      </c>
      <c r="C100" s="464" t="s">
        <v>2</v>
      </c>
      <c r="D100" s="464"/>
      <c r="E100" s="464"/>
      <c r="F100" s="464" t="s">
        <v>3</v>
      </c>
      <c r="G100" s="464"/>
      <c r="H100" s="464"/>
      <c r="I100" s="464" t="s">
        <v>4</v>
      </c>
      <c r="J100" s="464"/>
      <c r="K100" s="464"/>
    </row>
    <row r="101" spans="1:11" x14ac:dyDescent="0.25">
      <c r="A101" s="464"/>
      <c r="B101" s="464"/>
      <c r="C101" s="2" t="s">
        <v>5</v>
      </c>
      <c r="D101" s="3" t="s">
        <v>6</v>
      </c>
      <c r="E101" s="2" t="s">
        <v>7</v>
      </c>
      <c r="F101" s="2" t="s">
        <v>5</v>
      </c>
      <c r="G101" s="3" t="s">
        <v>6</v>
      </c>
      <c r="H101" s="2" t="s">
        <v>7</v>
      </c>
      <c r="I101" s="2" t="s">
        <v>5</v>
      </c>
      <c r="J101" s="3" t="s">
        <v>6</v>
      </c>
      <c r="K101" s="2" t="s">
        <v>7</v>
      </c>
    </row>
    <row r="102" spans="1:11" x14ac:dyDescent="0.25">
      <c r="A102" s="1"/>
      <c r="B102" s="1" t="s">
        <v>42</v>
      </c>
      <c r="C102" s="1"/>
      <c r="D102" s="34"/>
      <c r="E102" s="1"/>
      <c r="F102" s="1"/>
      <c r="G102" s="34"/>
      <c r="H102" s="1"/>
      <c r="I102" s="1">
        <v>0</v>
      </c>
      <c r="J102" s="34">
        <v>0</v>
      </c>
      <c r="K102" s="1">
        <v>0</v>
      </c>
    </row>
    <row r="103" spans="1:11" ht="15.75" x14ac:dyDescent="0.25">
      <c r="A103" s="7">
        <v>42009</v>
      </c>
      <c r="B103" s="8" t="s">
        <v>43</v>
      </c>
      <c r="C103" s="6">
        <v>2000</v>
      </c>
      <c r="D103" s="27">
        <f>+E103/C103</f>
        <v>3.56E-2</v>
      </c>
      <c r="E103" s="8">
        <v>71.2</v>
      </c>
      <c r="F103" s="8"/>
      <c r="G103" s="27"/>
      <c r="H103" s="8"/>
      <c r="I103" s="6">
        <f>+I102+C103</f>
        <v>2000</v>
      </c>
      <c r="J103" s="27">
        <f>+K103/I103</f>
        <v>3.56E-2</v>
      </c>
      <c r="K103" s="8">
        <f>+K102+E103</f>
        <v>71.2</v>
      </c>
    </row>
    <row r="104" spans="1:11" ht="15.75" x14ac:dyDescent="0.25">
      <c r="A104" s="106">
        <v>42284</v>
      </c>
      <c r="B104" s="107" t="s">
        <v>330</v>
      </c>
      <c r="C104" s="107"/>
      <c r="D104" s="107"/>
      <c r="E104" s="107"/>
      <c r="F104" s="107">
        <v>3</v>
      </c>
      <c r="G104" s="108">
        <f>+J103</f>
        <v>3.56E-2</v>
      </c>
      <c r="H104" s="108">
        <f>+G104*F104</f>
        <v>0.10680000000000001</v>
      </c>
      <c r="I104" s="107">
        <f>+I103-F104</f>
        <v>1997</v>
      </c>
      <c r="J104" s="108">
        <f>+K104/I104</f>
        <v>3.56E-2</v>
      </c>
      <c r="K104" s="108">
        <f>+K103-H104</f>
        <v>71.093199999999996</v>
      </c>
    </row>
    <row r="105" spans="1:11" x14ac:dyDescent="0.25">
      <c r="A105" s="5"/>
      <c r="B105" s="2"/>
      <c r="C105" s="2"/>
      <c r="D105" s="3"/>
      <c r="E105" s="2"/>
      <c r="F105" s="2"/>
      <c r="G105" s="3"/>
      <c r="H105" s="2"/>
      <c r="I105" s="2"/>
      <c r="J105" s="3"/>
      <c r="K105" s="3"/>
    </row>
    <row r="106" spans="1:11" x14ac:dyDescent="0.25">
      <c r="A106" s="5"/>
      <c r="B106" s="2"/>
      <c r="C106" s="2"/>
      <c r="D106" s="3"/>
      <c r="E106" s="2"/>
      <c r="F106" s="2"/>
      <c r="G106" s="3"/>
      <c r="H106" s="2"/>
      <c r="I106" s="2"/>
      <c r="J106" s="3"/>
      <c r="K106" s="3"/>
    </row>
    <row r="107" spans="1:11" x14ac:dyDescent="0.25">
      <c r="A107" s="5"/>
      <c r="B107" s="2"/>
      <c r="C107" s="2"/>
      <c r="D107" s="3"/>
      <c r="E107" s="2"/>
      <c r="F107" s="2"/>
      <c r="G107" s="3"/>
      <c r="H107" s="3"/>
      <c r="I107" s="2"/>
      <c r="J107" s="3"/>
      <c r="K107" s="3"/>
    </row>
    <row r="110" spans="1:11" ht="15.75" x14ac:dyDescent="0.25">
      <c r="A110" s="456" t="s">
        <v>10</v>
      </c>
      <c r="B110" s="456"/>
      <c r="C110" s="456"/>
      <c r="D110" s="456"/>
      <c r="E110" s="456"/>
      <c r="F110" s="456"/>
      <c r="G110" s="456"/>
      <c r="H110" s="456"/>
      <c r="I110" s="456"/>
      <c r="J110" s="456"/>
      <c r="K110" s="456"/>
    </row>
    <row r="111" spans="1:11" ht="15.75" x14ac:dyDescent="0.25">
      <c r="A111" s="456" t="s">
        <v>11</v>
      </c>
      <c r="B111" s="456"/>
      <c r="C111" s="456"/>
      <c r="D111" s="456"/>
      <c r="E111" s="456"/>
      <c r="F111" s="456"/>
      <c r="G111" s="456"/>
      <c r="H111" s="456"/>
      <c r="I111" s="456"/>
      <c r="J111" s="456"/>
      <c r="K111" s="456"/>
    </row>
    <row r="112" spans="1:11" x14ac:dyDescent="0.25">
      <c r="A112" s="2" t="s">
        <v>8</v>
      </c>
      <c r="B112" s="465" t="s">
        <v>168</v>
      </c>
      <c r="C112" s="466"/>
      <c r="D112" s="466"/>
      <c r="E112" s="467"/>
      <c r="F112" s="9" t="s">
        <v>48</v>
      </c>
      <c r="G112" s="468" t="s">
        <v>49</v>
      </c>
      <c r="H112" s="469"/>
      <c r="I112" s="469"/>
      <c r="J112" s="469"/>
      <c r="K112" s="470"/>
    </row>
    <row r="113" spans="1:11" x14ac:dyDescent="0.25">
      <c r="A113" s="4" t="s">
        <v>9</v>
      </c>
      <c r="B113" s="471" t="s">
        <v>66</v>
      </c>
      <c r="C113" s="471"/>
      <c r="D113" s="471"/>
      <c r="E113" s="471"/>
      <c r="F113" s="11" t="s">
        <v>50</v>
      </c>
      <c r="G113" s="471" t="s">
        <v>653</v>
      </c>
      <c r="H113" s="471"/>
      <c r="I113" s="471"/>
      <c r="J113" s="471"/>
      <c r="K113" s="471"/>
    </row>
    <row r="114" spans="1:11" x14ac:dyDescent="0.25">
      <c r="A114" s="464" t="s">
        <v>0</v>
      </c>
      <c r="B114" s="464" t="s">
        <v>1</v>
      </c>
      <c r="C114" s="464" t="s">
        <v>2</v>
      </c>
      <c r="D114" s="464"/>
      <c r="E114" s="464"/>
      <c r="F114" s="464" t="s">
        <v>3</v>
      </c>
      <c r="G114" s="464"/>
      <c r="H114" s="464"/>
      <c r="I114" s="464" t="s">
        <v>4</v>
      </c>
      <c r="J114" s="464"/>
      <c r="K114" s="464"/>
    </row>
    <row r="115" spans="1:11" x14ac:dyDescent="0.25">
      <c r="A115" s="464"/>
      <c r="B115" s="464"/>
      <c r="C115" s="2" t="s">
        <v>5</v>
      </c>
      <c r="D115" s="3" t="s">
        <v>6</v>
      </c>
      <c r="E115" s="2" t="s">
        <v>7</v>
      </c>
      <c r="F115" s="2" t="s">
        <v>5</v>
      </c>
      <c r="G115" s="3" t="s">
        <v>6</v>
      </c>
      <c r="H115" s="2" t="s">
        <v>7</v>
      </c>
      <c r="I115" s="2" t="s">
        <v>5</v>
      </c>
      <c r="J115" s="3" t="s">
        <v>6</v>
      </c>
      <c r="K115" s="2" t="s">
        <v>7</v>
      </c>
    </row>
    <row r="116" spans="1:11" x14ac:dyDescent="0.25">
      <c r="A116" s="1"/>
      <c r="B116" s="1" t="s">
        <v>42</v>
      </c>
      <c r="C116" s="1"/>
      <c r="D116" s="34"/>
      <c r="E116" s="1"/>
      <c r="F116" s="1"/>
      <c r="G116" s="34"/>
      <c r="H116" s="1"/>
      <c r="I116" s="1">
        <v>0</v>
      </c>
      <c r="J116" s="34">
        <v>0</v>
      </c>
      <c r="K116" s="1">
        <v>0</v>
      </c>
    </row>
    <row r="117" spans="1:11" ht="15.75" x14ac:dyDescent="0.25">
      <c r="A117" s="7">
        <v>42009</v>
      </c>
      <c r="B117" s="8" t="s">
        <v>43</v>
      </c>
      <c r="C117" s="6">
        <v>300</v>
      </c>
      <c r="D117" s="27">
        <f>+E117/C117</f>
        <v>0.16239999999999999</v>
      </c>
      <c r="E117" s="8">
        <v>48.72</v>
      </c>
      <c r="F117" s="8"/>
      <c r="G117" s="27"/>
      <c r="H117" s="8"/>
      <c r="I117" s="6">
        <f>+I116+C117</f>
        <v>300</v>
      </c>
      <c r="J117" s="27">
        <f>+K117/I117</f>
        <v>0.16239999999999999</v>
      </c>
      <c r="K117" s="8">
        <f>+K116+E117</f>
        <v>48.72</v>
      </c>
    </row>
    <row r="118" spans="1:11" ht="31.5" x14ac:dyDescent="0.25">
      <c r="A118" s="307"/>
      <c r="B118" s="352" t="s">
        <v>595</v>
      </c>
      <c r="C118" s="222"/>
      <c r="D118" s="223"/>
      <c r="E118" s="222"/>
      <c r="F118" s="222">
        <v>2</v>
      </c>
      <c r="G118" s="223">
        <f>+J117</f>
        <v>0.16239999999999999</v>
      </c>
      <c r="H118" s="222">
        <f>+G118*F118</f>
        <v>0.32479999999999998</v>
      </c>
      <c r="I118" s="222">
        <f>+I117-F118</f>
        <v>298</v>
      </c>
      <c r="J118" s="223">
        <f>+K118/I118</f>
        <v>0.16239999999999999</v>
      </c>
      <c r="K118" s="223">
        <f>+K117-H118</f>
        <v>48.395199999999996</v>
      </c>
    </row>
    <row r="119" spans="1:11" x14ac:dyDescent="0.25">
      <c r="A119" s="5"/>
      <c r="B119" s="2"/>
      <c r="C119" s="2"/>
      <c r="D119" s="3"/>
      <c r="E119" s="2"/>
      <c r="F119" s="2"/>
      <c r="G119" s="3"/>
      <c r="H119" s="2"/>
      <c r="I119" s="2"/>
      <c r="J119" s="3"/>
      <c r="K119" s="3"/>
    </row>
    <row r="120" spans="1:11" x14ac:dyDescent="0.25">
      <c r="A120" s="5"/>
      <c r="B120" s="2"/>
      <c r="C120" s="2"/>
      <c r="D120" s="3"/>
      <c r="E120" s="2"/>
      <c r="F120" s="2"/>
      <c r="G120" s="3"/>
      <c r="H120" s="3"/>
      <c r="I120" s="2"/>
      <c r="J120" s="3"/>
      <c r="K120" s="3"/>
    </row>
    <row r="123" spans="1:11" ht="15.75" x14ac:dyDescent="0.25">
      <c r="A123" s="456" t="s">
        <v>10</v>
      </c>
      <c r="B123" s="456"/>
      <c r="C123" s="456"/>
      <c r="D123" s="456"/>
      <c r="E123" s="456"/>
      <c r="F123" s="456"/>
      <c r="G123" s="456"/>
      <c r="H123" s="456"/>
      <c r="I123" s="456"/>
      <c r="J123" s="456"/>
      <c r="K123" s="456"/>
    </row>
    <row r="124" spans="1:11" ht="15.75" x14ac:dyDescent="0.25">
      <c r="A124" s="456" t="s">
        <v>11</v>
      </c>
      <c r="B124" s="456"/>
      <c r="C124" s="456"/>
      <c r="D124" s="456"/>
      <c r="E124" s="456"/>
      <c r="F124" s="456"/>
      <c r="G124" s="456"/>
      <c r="H124" s="456"/>
      <c r="I124" s="456"/>
      <c r="J124" s="456"/>
      <c r="K124" s="456"/>
    </row>
    <row r="125" spans="1:11" x14ac:dyDescent="0.25">
      <c r="A125" s="2" t="s">
        <v>8</v>
      </c>
      <c r="B125" s="465" t="s">
        <v>169</v>
      </c>
      <c r="C125" s="466"/>
      <c r="D125" s="466"/>
      <c r="E125" s="467"/>
      <c r="F125" s="9" t="s">
        <v>48</v>
      </c>
      <c r="G125" s="468" t="s">
        <v>49</v>
      </c>
      <c r="H125" s="469"/>
      <c r="I125" s="469"/>
      <c r="J125" s="469"/>
      <c r="K125" s="470"/>
    </row>
    <row r="126" spans="1:11" x14ac:dyDescent="0.25">
      <c r="A126" s="4" t="s">
        <v>9</v>
      </c>
      <c r="B126" s="471" t="s">
        <v>66</v>
      </c>
      <c r="C126" s="471"/>
      <c r="D126" s="471"/>
      <c r="E126" s="471"/>
      <c r="F126" s="11" t="s">
        <v>50</v>
      </c>
      <c r="G126" s="471" t="s">
        <v>653</v>
      </c>
      <c r="H126" s="471"/>
      <c r="I126" s="471"/>
      <c r="J126" s="471"/>
      <c r="K126" s="471"/>
    </row>
    <row r="127" spans="1:11" x14ac:dyDescent="0.25">
      <c r="A127" s="464" t="s">
        <v>0</v>
      </c>
      <c r="B127" s="464" t="s">
        <v>1</v>
      </c>
      <c r="C127" s="464" t="s">
        <v>2</v>
      </c>
      <c r="D127" s="464"/>
      <c r="E127" s="464"/>
      <c r="F127" s="464" t="s">
        <v>3</v>
      </c>
      <c r="G127" s="464"/>
      <c r="H127" s="464"/>
      <c r="I127" s="464" t="s">
        <v>4</v>
      </c>
      <c r="J127" s="464"/>
      <c r="K127" s="464"/>
    </row>
    <row r="128" spans="1:11" x14ac:dyDescent="0.25">
      <c r="A128" s="464"/>
      <c r="B128" s="464"/>
      <c r="C128" s="2" t="s">
        <v>5</v>
      </c>
      <c r="D128" s="3" t="s">
        <v>6</v>
      </c>
      <c r="E128" s="2" t="s">
        <v>7</v>
      </c>
      <c r="F128" s="2" t="s">
        <v>5</v>
      </c>
      <c r="G128" s="3" t="s">
        <v>6</v>
      </c>
      <c r="H128" s="2" t="s">
        <v>7</v>
      </c>
      <c r="I128" s="2" t="s">
        <v>5</v>
      </c>
      <c r="J128" s="3" t="s">
        <v>6</v>
      </c>
      <c r="K128" s="2" t="s">
        <v>7</v>
      </c>
    </row>
    <row r="129" spans="1:11" x14ac:dyDescent="0.25">
      <c r="A129" s="1"/>
      <c r="B129" s="1" t="s">
        <v>42</v>
      </c>
      <c r="C129" s="1"/>
      <c r="D129" s="34"/>
      <c r="E129" s="1"/>
      <c r="F129" s="1"/>
      <c r="G129" s="34"/>
      <c r="H129" s="1"/>
      <c r="I129" s="1">
        <v>0</v>
      </c>
      <c r="J129" s="34">
        <v>0</v>
      </c>
      <c r="K129" s="1">
        <v>0</v>
      </c>
    </row>
    <row r="130" spans="1:11" ht="15.75" x14ac:dyDescent="0.25">
      <c r="A130" s="7">
        <v>42009</v>
      </c>
      <c r="B130" s="8" t="s">
        <v>43</v>
      </c>
      <c r="C130" s="6">
        <v>450</v>
      </c>
      <c r="D130" s="27">
        <f>+E130/C130</f>
        <v>0.16239999999999999</v>
      </c>
      <c r="E130" s="8">
        <v>73.08</v>
      </c>
      <c r="F130" s="8"/>
      <c r="G130" s="27"/>
      <c r="H130" s="8"/>
      <c r="I130" s="6">
        <f>+I129+C130</f>
        <v>450</v>
      </c>
      <c r="J130" s="27">
        <f>+K130/I130</f>
        <v>0.16239999999999999</v>
      </c>
      <c r="K130" s="8">
        <f>+K129+E130</f>
        <v>73.08</v>
      </c>
    </row>
    <row r="131" spans="1:11" ht="31.5" x14ac:dyDescent="0.25">
      <c r="A131" s="5"/>
      <c r="B131" s="352" t="s">
        <v>595</v>
      </c>
      <c r="C131" s="2"/>
      <c r="D131" s="3"/>
      <c r="E131" s="2"/>
      <c r="F131" s="2">
        <v>2.5</v>
      </c>
      <c r="G131" s="3">
        <f>+J130</f>
        <v>0.16239999999999999</v>
      </c>
      <c r="H131" s="3">
        <f>+G131*F131</f>
        <v>0.40599999999999997</v>
      </c>
      <c r="I131" s="2">
        <f>+I130-F131</f>
        <v>447.5</v>
      </c>
      <c r="J131" s="3">
        <f>+K131/H131</f>
        <v>179</v>
      </c>
      <c r="K131" s="3">
        <f>+K130-H131</f>
        <v>72.673999999999992</v>
      </c>
    </row>
    <row r="132" spans="1:11" x14ac:dyDescent="0.25">
      <c r="A132" s="5"/>
      <c r="B132" s="2"/>
      <c r="C132" s="2"/>
      <c r="D132" s="3"/>
      <c r="E132" s="2"/>
      <c r="F132" s="2"/>
      <c r="G132" s="3"/>
      <c r="H132" s="2"/>
      <c r="I132" s="2"/>
      <c r="J132" s="3"/>
      <c r="K132" s="3"/>
    </row>
    <row r="133" spans="1:11" x14ac:dyDescent="0.25">
      <c r="A133" s="5"/>
      <c r="B133" s="2"/>
      <c r="C133" s="2"/>
      <c r="D133" s="3"/>
      <c r="E133" s="2"/>
      <c r="F133" s="2"/>
      <c r="G133" s="3"/>
      <c r="H133" s="3"/>
      <c r="I133" s="2"/>
      <c r="J133" s="3"/>
      <c r="K133" s="3"/>
    </row>
    <row r="136" spans="1:11" ht="15.75" x14ac:dyDescent="0.25">
      <c r="A136" s="456" t="s">
        <v>10</v>
      </c>
      <c r="B136" s="456"/>
      <c r="C136" s="456"/>
      <c r="D136" s="456"/>
      <c r="E136" s="456"/>
      <c r="F136" s="456"/>
      <c r="G136" s="456"/>
      <c r="H136" s="456"/>
      <c r="I136" s="456"/>
      <c r="J136" s="456"/>
      <c r="K136" s="456"/>
    </row>
    <row r="137" spans="1:11" ht="15.75" x14ac:dyDescent="0.25">
      <c r="A137" s="456" t="s">
        <v>11</v>
      </c>
      <c r="B137" s="456"/>
      <c r="C137" s="456"/>
      <c r="D137" s="456"/>
      <c r="E137" s="456"/>
      <c r="F137" s="456"/>
      <c r="G137" s="456"/>
      <c r="H137" s="456"/>
      <c r="I137" s="456"/>
      <c r="J137" s="456"/>
      <c r="K137" s="456"/>
    </row>
    <row r="138" spans="1:11" x14ac:dyDescent="0.25">
      <c r="A138" s="2" t="s">
        <v>8</v>
      </c>
      <c r="B138" s="465" t="s">
        <v>170</v>
      </c>
      <c r="C138" s="466"/>
      <c r="D138" s="466"/>
      <c r="E138" s="467"/>
      <c r="F138" s="9" t="s">
        <v>48</v>
      </c>
      <c r="G138" s="468" t="s">
        <v>49</v>
      </c>
      <c r="H138" s="469"/>
      <c r="I138" s="469"/>
      <c r="J138" s="469"/>
      <c r="K138" s="470"/>
    </row>
    <row r="139" spans="1:11" x14ac:dyDescent="0.25">
      <c r="A139" s="4" t="s">
        <v>9</v>
      </c>
      <c r="B139" s="471" t="s">
        <v>66</v>
      </c>
      <c r="C139" s="471"/>
      <c r="D139" s="471"/>
      <c r="E139" s="471"/>
      <c r="F139" s="11" t="s">
        <v>50</v>
      </c>
      <c r="G139" s="471" t="s">
        <v>123</v>
      </c>
      <c r="H139" s="471"/>
      <c r="I139" s="471"/>
      <c r="J139" s="471"/>
      <c r="K139" s="471"/>
    </row>
    <row r="140" spans="1:11" x14ac:dyDescent="0.25">
      <c r="A140" s="464" t="s">
        <v>0</v>
      </c>
      <c r="B140" s="464" t="s">
        <v>1</v>
      </c>
      <c r="C140" s="464" t="s">
        <v>2</v>
      </c>
      <c r="D140" s="464"/>
      <c r="E140" s="464"/>
      <c r="F140" s="464" t="s">
        <v>3</v>
      </c>
      <c r="G140" s="464"/>
      <c r="H140" s="464"/>
      <c r="I140" s="464" t="s">
        <v>4</v>
      </c>
      <c r="J140" s="464"/>
      <c r="K140" s="464"/>
    </row>
    <row r="141" spans="1:11" x14ac:dyDescent="0.25">
      <c r="A141" s="464"/>
      <c r="B141" s="464"/>
      <c r="C141" s="2" t="s">
        <v>5</v>
      </c>
      <c r="D141" s="3" t="s">
        <v>6</v>
      </c>
      <c r="E141" s="2" t="s">
        <v>7</v>
      </c>
      <c r="F141" s="2" t="s">
        <v>5</v>
      </c>
      <c r="G141" s="3" t="s">
        <v>6</v>
      </c>
      <c r="H141" s="2" t="s">
        <v>7</v>
      </c>
      <c r="I141" s="2" t="s">
        <v>5</v>
      </c>
      <c r="J141" s="3" t="s">
        <v>6</v>
      </c>
      <c r="K141" s="2" t="s">
        <v>7</v>
      </c>
    </row>
    <row r="142" spans="1:11" x14ac:dyDescent="0.25">
      <c r="A142" s="1"/>
      <c r="B142" s="1" t="s">
        <v>42</v>
      </c>
      <c r="C142" s="1"/>
      <c r="D142" s="34"/>
      <c r="E142" s="1"/>
      <c r="F142" s="1"/>
      <c r="G142" s="34"/>
      <c r="H142" s="1"/>
      <c r="I142" s="1">
        <v>0</v>
      </c>
      <c r="J142" s="34">
        <v>0</v>
      </c>
      <c r="K142" s="1">
        <v>0</v>
      </c>
    </row>
    <row r="143" spans="1:11" ht="15.75" x14ac:dyDescent="0.25">
      <c r="A143" s="7">
        <v>42009</v>
      </c>
      <c r="B143" s="8" t="s">
        <v>43</v>
      </c>
      <c r="C143" s="6">
        <v>300</v>
      </c>
      <c r="D143" s="27">
        <f>+E143/C143</f>
        <v>0.25800000000000001</v>
      </c>
      <c r="E143" s="8">
        <v>77.400000000000006</v>
      </c>
      <c r="F143" s="8"/>
      <c r="G143" s="27"/>
      <c r="H143" s="8"/>
      <c r="I143" s="6">
        <f>+I142+C143</f>
        <v>300</v>
      </c>
      <c r="J143" s="27">
        <f>+K143/I143</f>
        <v>0.25800000000000001</v>
      </c>
      <c r="K143" s="8">
        <f>+K142+E143</f>
        <v>77.400000000000006</v>
      </c>
    </row>
    <row r="144" spans="1:11" ht="31.5" x14ac:dyDescent="0.25">
      <c r="A144" s="307"/>
      <c r="B144" s="352" t="s">
        <v>595</v>
      </c>
      <c r="C144" s="222"/>
      <c r="D144" s="223"/>
      <c r="E144" s="222"/>
      <c r="F144" s="222">
        <v>1.5</v>
      </c>
      <c r="G144" s="223">
        <f>+J143</f>
        <v>0.25800000000000001</v>
      </c>
      <c r="H144" s="222">
        <f>+G144*F144</f>
        <v>0.38700000000000001</v>
      </c>
      <c r="I144" s="222">
        <f>+I143-F144</f>
        <v>298.5</v>
      </c>
      <c r="J144" s="223">
        <f>+K144/I144</f>
        <v>0.25800000000000001</v>
      </c>
      <c r="K144" s="223">
        <f>+K143-H144</f>
        <v>77.013000000000005</v>
      </c>
    </row>
    <row r="145" spans="1:11" x14ac:dyDescent="0.25">
      <c r="A145" s="5"/>
      <c r="B145" s="2"/>
      <c r="C145" s="2"/>
      <c r="D145" s="3"/>
      <c r="E145" s="2"/>
      <c r="F145" s="2"/>
      <c r="G145" s="3"/>
      <c r="H145" s="2"/>
      <c r="I145" s="2"/>
      <c r="J145" s="3"/>
      <c r="K145" s="3"/>
    </row>
    <row r="146" spans="1:11" x14ac:dyDescent="0.25">
      <c r="A146" s="5"/>
      <c r="B146" s="2"/>
      <c r="C146" s="2"/>
      <c r="D146" s="3"/>
      <c r="E146" s="2"/>
      <c r="F146" s="2"/>
      <c r="G146" s="3"/>
      <c r="H146" s="3"/>
      <c r="I146" s="2"/>
      <c r="J146" s="3"/>
      <c r="K146" s="3"/>
    </row>
    <row r="151" spans="1:11" ht="15.75" x14ac:dyDescent="0.25">
      <c r="A151" s="456" t="s">
        <v>10</v>
      </c>
      <c r="B151" s="456"/>
      <c r="C151" s="456"/>
      <c r="D151" s="456"/>
      <c r="E151" s="456"/>
      <c r="F151" s="456"/>
      <c r="G151" s="456"/>
      <c r="H151" s="456"/>
      <c r="I151" s="456"/>
      <c r="J151" s="456"/>
      <c r="K151" s="456"/>
    </row>
    <row r="152" spans="1:11" ht="15.75" x14ac:dyDescent="0.25">
      <c r="A152" s="456" t="s">
        <v>11</v>
      </c>
      <c r="B152" s="456"/>
      <c r="C152" s="456"/>
      <c r="D152" s="456"/>
      <c r="E152" s="456"/>
      <c r="F152" s="456"/>
      <c r="G152" s="456"/>
      <c r="H152" s="456"/>
      <c r="I152" s="456"/>
      <c r="J152" s="456"/>
      <c r="K152" s="456"/>
    </row>
    <row r="153" spans="1:11" x14ac:dyDescent="0.25">
      <c r="A153" s="2" t="s">
        <v>8</v>
      </c>
      <c r="B153" s="465" t="s">
        <v>171</v>
      </c>
      <c r="C153" s="466"/>
      <c r="D153" s="466"/>
      <c r="E153" s="467"/>
      <c r="F153" s="9" t="s">
        <v>48</v>
      </c>
      <c r="G153" s="468" t="s">
        <v>49</v>
      </c>
      <c r="H153" s="469"/>
      <c r="I153" s="469"/>
      <c r="J153" s="469"/>
      <c r="K153" s="470"/>
    </row>
    <row r="154" spans="1:11" x14ac:dyDescent="0.25">
      <c r="A154" s="4" t="s">
        <v>9</v>
      </c>
      <c r="B154" s="471" t="s">
        <v>44</v>
      </c>
      <c r="C154" s="471"/>
      <c r="D154" s="471"/>
      <c r="E154" s="471"/>
      <c r="F154" s="11" t="s">
        <v>50</v>
      </c>
      <c r="G154" s="471" t="s">
        <v>52</v>
      </c>
      <c r="H154" s="471"/>
      <c r="I154" s="471"/>
      <c r="J154" s="471"/>
      <c r="K154" s="471"/>
    </row>
    <row r="155" spans="1:11" x14ac:dyDescent="0.25">
      <c r="A155" s="464" t="s">
        <v>0</v>
      </c>
      <c r="B155" s="464" t="s">
        <v>1</v>
      </c>
      <c r="C155" s="464" t="s">
        <v>2</v>
      </c>
      <c r="D155" s="464"/>
      <c r="E155" s="464"/>
      <c r="F155" s="464" t="s">
        <v>3</v>
      </c>
      <c r="G155" s="464"/>
      <c r="H155" s="464"/>
      <c r="I155" s="464" t="s">
        <v>4</v>
      </c>
      <c r="J155" s="464"/>
      <c r="K155" s="464"/>
    </row>
    <row r="156" spans="1:11" x14ac:dyDescent="0.25">
      <c r="A156" s="464"/>
      <c r="B156" s="464"/>
      <c r="C156" s="2" t="s">
        <v>5</v>
      </c>
      <c r="D156" s="3" t="s">
        <v>6</v>
      </c>
      <c r="E156" s="2" t="s">
        <v>7</v>
      </c>
      <c r="F156" s="2" t="s">
        <v>5</v>
      </c>
      <c r="G156" s="3" t="s">
        <v>6</v>
      </c>
      <c r="H156" s="2" t="s">
        <v>7</v>
      </c>
      <c r="I156" s="2" t="s">
        <v>5</v>
      </c>
      <c r="J156" s="3" t="s">
        <v>6</v>
      </c>
      <c r="K156" s="2" t="s">
        <v>7</v>
      </c>
    </row>
    <row r="157" spans="1:11" x14ac:dyDescent="0.25">
      <c r="A157" s="1"/>
      <c r="B157" s="1" t="s">
        <v>42</v>
      </c>
      <c r="C157" s="1"/>
      <c r="D157" s="34"/>
      <c r="E157" s="1"/>
      <c r="F157" s="1"/>
      <c r="G157" s="34"/>
      <c r="H157" s="1"/>
      <c r="I157" s="1">
        <v>0</v>
      </c>
      <c r="J157" s="34">
        <v>0</v>
      </c>
      <c r="K157" s="1">
        <v>0</v>
      </c>
    </row>
    <row r="158" spans="1:11" ht="15.75" x14ac:dyDescent="0.25">
      <c r="A158" s="7">
        <v>42009</v>
      </c>
      <c r="B158" s="8" t="s">
        <v>43</v>
      </c>
      <c r="C158" s="6">
        <v>100</v>
      </c>
      <c r="D158" s="27">
        <f>+E158/C158</f>
        <v>7.4999999999999997E-2</v>
      </c>
      <c r="E158" s="8">
        <v>7.5</v>
      </c>
      <c r="F158" s="8"/>
      <c r="G158" s="27"/>
      <c r="H158" s="8"/>
      <c r="I158" s="6">
        <f>+I157+C158</f>
        <v>100</v>
      </c>
      <c r="J158" s="27">
        <f>+K158/I158</f>
        <v>7.4999999999999997E-2</v>
      </c>
      <c r="K158" s="8">
        <f>+K157+E158</f>
        <v>7.5</v>
      </c>
    </row>
    <row r="159" spans="1:11" ht="30" x14ac:dyDescent="0.25">
      <c r="A159" s="307"/>
      <c r="B159" s="309" t="s">
        <v>535</v>
      </c>
      <c r="C159" s="222"/>
      <c r="D159" s="223"/>
      <c r="E159" s="222"/>
      <c r="F159" s="222">
        <v>1</v>
      </c>
      <c r="G159" s="223">
        <f>+J158</f>
        <v>7.4999999999999997E-2</v>
      </c>
      <c r="H159" s="223">
        <f>+G159*F159</f>
        <v>7.4999999999999997E-2</v>
      </c>
      <c r="I159" s="222">
        <f>+I158-F159</f>
        <v>99</v>
      </c>
      <c r="J159" s="223">
        <f>+K159/I159</f>
        <v>7.4999999999999997E-2</v>
      </c>
      <c r="K159" s="223">
        <f>+K158-H159</f>
        <v>7.4249999999999998</v>
      </c>
    </row>
    <row r="160" spans="1:11" x14ac:dyDescent="0.25">
      <c r="A160" s="5"/>
      <c r="B160" s="2"/>
      <c r="C160" s="2"/>
      <c r="D160" s="3"/>
      <c r="E160" s="2"/>
      <c r="F160" s="2"/>
      <c r="G160" s="3"/>
      <c r="H160" s="2"/>
      <c r="I160" s="2"/>
      <c r="J160" s="3"/>
      <c r="K160" s="3"/>
    </row>
    <row r="161" spans="1:11" x14ac:dyDescent="0.25">
      <c r="A161" s="5"/>
      <c r="B161" s="2"/>
      <c r="C161" s="2"/>
      <c r="D161" s="3"/>
      <c r="E161" s="2"/>
      <c r="F161" s="2"/>
      <c r="G161" s="3"/>
      <c r="H161" s="3"/>
      <c r="I161" s="2"/>
      <c r="J161" s="3"/>
      <c r="K161" s="3"/>
    </row>
    <row r="167" spans="1:11" ht="15.75" x14ac:dyDescent="0.25">
      <c r="A167" s="456" t="s">
        <v>10</v>
      </c>
      <c r="B167" s="456"/>
      <c r="C167" s="456"/>
      <c r="D167" s="456"/>
      <c r="E167" s="456"/>
      <c r="F167" s="456"/>
      <c r="G167" s="456"/>
      <c r="H167" s="456"/>
      <c r="I167" s="456"/>
      <c r="J167" s="456"/>
      <c r="K167" s="456"/>
    </row>
    <row r="168" spans="1:11" ht="15.75" x14ac:dyDescent="0.25">
      <c r="A168" s="456" t="s">
        <v>11</v>
      </c>
      <c r="B168" s="456"/>
      <c r="C168" s="456"/>
      <c r="D168" s="456"/>
      <c r="E168" s="456"/>
      <c r="F168" s="456"/>
      <c r="G168" s="456"/>
      <c r="H168" s="456"/>
      <c r="I168" s="456"/>
      <c r="J168" s="456"/>
      <c r="K168" s="456"/>
    </row>
    <row r="169" spans="1:11" x14ac:dyDescent="0.25">
      <c r="A169" s="2" t="s">
        <v>8</v>
      </c>
      <c r="B169" s="465" t="s">
        <v>172</v>
      </c>
      <c r="C169" s="466"/>
      <c r="D169" s="466"/>
      <c r="E169" s="467"/>
      <c r="F169" s="9" t="s">
        <v>48</v>
      </c>
      <c r="G169" s="468" t="s">
        <v>49</v>
      </c>
      <c r="H169" s="469"/>
      <c r="I169" s="469"/>
      <c r="J169" s="469"/>
      <c r="K169" s="470"/>
    </row>
    <row r="170" spans="1:11" x14ac:dyDescent="0.25">
      <c r="A170" s="4" t="s">
        <v>9</v>
      </c>
      <c r="B170" s="471" t="s">
        <v>72</v>
      </c>
      <c r="C170" s="471"/>
      <c r="D170" s="471"/>
      <c r="E170" s="471"/>
      <c r="F170" s="11" t="s">
        <v>50</v>
      </c>
      <c r="G170" s="471" t="s">
        <v>176</v>
      </c>
      <c r="H170" s="471"/>
      <c r="I170" s="471"/>
      <c r="J170" s="471"/>
      <c r="K170" s="471"/>
    </row>
    <row r="171" spans="1:11" x14ac:dyDescent="0.25">
      <c r="A171" s="464" t="s">
        <v>0</v>
      </c>
      <c r="B171" s="464" t="s">
        <v>1</v>
      </c>
      <c r="C171" s="464" t="s">
        <v>2</v>
      </c>
      <c r="D171" s="464"/>
      <c r="E171" s="464"/>
      <c r="F171" s="464" t="s">
        <v>3</v>
      </c>
      <c r="G171" s="464"/>
      <c r="H171" s="464"/>
      <c r="I171" s="464" t="s">
        <v>4</v>
      </c>
      <c r="J171" s="464"/>
      <c r="K171" s="464"/>
    </row>
    <row r="172" spans="1:11" x14ac:dyDescent="0.25">
      <c r="A172" s="464"/>
      <c r="B172" s="464"/>
      <c r="C172" s="2" t="s">
        <v>5</v>
      </c>
      <c r="D172" s="3" t="s">
        <v>6</v>
      </c>
      <c r="E172" s="2" t="s">
        <v>7</v>
      </c>
      <c r="F172" s="2" t="s">
        <v>5</v>
      </c>
      <c r="G172" s="3" t="s">
        <v>6</v>
      </c>
      <c r="H172" s="2" t="s">
        <v>7</v>
      </c>
      <c r="I172" s="2" t="s">
        <v>5</v>
      </c>
      <c r="J172" s="3" t="s">
        <v>6</v>
      </c>
      <c r="K172" s="2" t="s">
        <v>7</v>
      </c>
    </row>
    <row r="173" spans="1:11" x14ac:dyDescent="0.25">
      <c r="A173" s="1"/>
      <c r="B173" s="1" t="s">
        <v>42</v>
      </c>
      <c r="C173" s="1"/>
      <c r="D173" s="34"/>
      <c r="E173" s="1"/>
      <c r="F173" s="1"/>
      <c r="G173" s="34"/>
      <c r="H173" s="1"/>
      <c r="I173" s="1">
        <v>0</v>
      </c>
      <c r="J173" s="34">
        <v>0</v>
      </c>
      <c r="K173" s="1">
        <v>0</v>
      </c>
    </row>
    <row r="174" spans="1:11" ht="15.75" x14ac:dyDescent="0.25">
      <c r="A174" s="7">
        <v>42009</v>
      </c>
      <c r="B174" s="8" t="s">
        <v>43</v>
      </c>
      <c r="C174" s="6">
        <v>1500</v>
      </c>
      <c r="D174" s="27">
        <f>+E174/C174</f>
        <v>4.5999999999999999E-2</v>
      </c>
      <c r="E174" s="8">
        <v>69</v>
      </c>
      <c r="F174" s="8"/>
      <c r="G174" s="27"/>
      <c r="H174" s="8"/>
      <c r="I174" s="6">
        <f>+I173+C174</f>
        <v>1500</v>
      </c>
      <c r="J174" s="27">
        <f>+K174/I174</f>
        <v>4.5999999999999999E-2</v>
      </c>
      <c r="K174" s="8">
        <f>+K173+E174</f>
        <v>69</v>
      </c>
    </row>
    <row r="175" spans="1:11" ht="30" x14ac:dyDescent="0.25">
      <c r="A175" s="307"/>
      <c r="B175" s="309" t="s">
        <v>571</v>
      </c>
      <c r="C175" s="222"/>
      <c r="D175" s="223"/>
      <c r="E175" s="222"/>
      <c r="F175" s="222">
        <v>3.5</v>
      </c>
      <c r="G175" s="223">
        <f>+J174</f>
        <v>4.5999999999999999E-2</v>
      </c>
      <c r="H175" s="222">
        <f>+G175*F175</f>
        <v>0.161</v>
      </c>
      <c r="I175" s="222">
        <f>+I174-F175</f>
        <v>1496.5</v>
      </c>
      <c r="J175" s="223">
        <f>+K175/I175</f>
        <v>4.5999999999999999E-2</v>
      </c>
      <c r="K175" s="223">
        <f>+K174-H175</f>
        <v>68.838999999999999</v>
      </c>
    </row>
    <row r="176" spans="1:11" x14ac:dyDescent="0.25">
      <c r="A176" s="5"/>
      <c r="B176" s="2"/>
      <c r="C176" s="2"/>
      <c r="D176" s="3"/>
      <c r="E176" s="2"/>
      <c r="F176" s="2"/>
      <c r="G176" s="3"/>
      <c r="H176" s="2"/>
      <c r="I176" s="2"/>
      <c r="J176" s="3"/>
      <c r="K176" s="3"/>
    </row>
    <row r="177" spans="1:11" x14ac:dyDescent="0.25">
      <c r="A177" s="5"/>
      <c r="B177" s="2"/>
      <c r="C177" s="2"/>
      <c r="D177" s="3"/>
      <c r="E177" s="2"/>
      <c r="F177" s="2"/>
      <c r="G177" s="3"/>
      <c r="H177" s="3"/>
      <c r="I177" s="2"/>
      <c r="J177" s="3"/>
      <c r="K177" s="3"/>
    </row>
    <row r="180" spans="1:11" ht="15.75" x14ac:dyDescent="0.25">
      <c r="A180" s="456" t="s">
        <v>10</v>
      </c>
      <c r="B180" s="456"/>
      <c r="C180" s="456"/>
      <c r="D180" s="456"/>
      <c r="E180" s="456"/>
      <c r="F180" s="456"/>
      <c r="G180" s="456"/>
      <c r="H180" s="456"/>
      <c r="I180" s="456"/>
      <c r="J180" s="456"/>
      <c r="K180" s="456"/>
    </row>
    <row r="181" spans="1:11" ht="15.75" x14ac:dyDescent="0.25">
      <c r="A181" s="456" t="s">
        <v>11</v>
      </c>
      <c r="B181" s="456"/>
      <c r="C181" s="456"/>
      <c r="D181" s="456"/>
      <c r="E181" s="456"/>
      <c r="F181" s="456"/>
      <c r="G181" s="456"/>
      <c r="H181" s="456"/>
      <c r="I181" s="456"/>
      <c r="J181" s="456"/>
      <c r="K181" s="456"/>
    </row>
    <row r="182" spans="1:11" x14ac:dyDescent="0.25">
      <c r="A182" s="2" t="s">
        <v>8</v>
      </c>
      <c r="B182" s="465" t="s">
        <v>173</v>
      </c>
      <c r="C182" s="466"/>
      <c r="D182" s="466"/>
      <c r="E182" s="467"/>
      <c r="F182" s="10" t="s">
        <v>48</v>
      </c>
      <c r="G182" s="468" t="s">
        <v>49</v>
      </c>
      <c r="H182" s="469"/>
      <c r="I182" s="469"/>
      <c r="J182" s="469"/>
      <c r="K182" s="470"/>
    </row>
    <row r="183" spans="1:11" x14ac:dyDescent="0.25">
      <c r="A183" s="4" t="s">
        <v>9</v>
      </c>
      <c r="B183" s="471" t="s">
        <v>72</v>
      </c>
      <c r="C183" s="471"/>
      <c r="D183" s="471"/>
      <c r="E183" s="471"/>
      <c r="F183" s="11" t="s">
        <v>50</v>
      </c>
      <c r="G183" s="471" t="s">
        <v>176</v>
      </c>
      <c r="H183" s="471"/>
      <c r="I183" s="471"/>
      <c r="J183" s="471"/>
      <c r="K183" s="471"/>
    </row>
    <row r="184" spans="1:11" x14ac:dyDescent="0.25">
      <c r="A184" s="464" t="s">
        <v>0</v>
      </c>
      <c r="B184" s="464" t="s">
        <v>1</v>
      </c>
      <c r="C184" s="464" t="s">
        <v>2</v>
      </c>
      <c r="D184" s="464"/>
      <c r="E184" s="464"/>
      <c r="F184" s="464" t="s">
        <v>3</v>
      </c>
      <c r="G184" s="464"/>
      <c r="H184" s="464"/>
      <c r="I184" s="464" t="s">
        <v>4</v>
      </c>
      <c r="J184" s="464"/>
      <c r="K184" s="464"/>
    </row>
    <row r="185" spans="1:11" x14ac:dyDescent="0.25">
      <c r="A185" s="464"/>
      <c r="B185" s="464"/>
      <c r="C185" s="2" t="s">
        <v>5</v>
      </c>
      <c r="D185" s="3" t="s">
        <v>6</v>
      </c>
      <c r="E185" s="2" t="s">
        <v>7</v>
      </c>
      <c r="F185" s="2" t="s">
        <v>5</v>
      </c>
      <c r="G185" s="3" t="s">
        <v>6</v>
      </c>
      <c r="H185" s="2" t="s">
        <v>7</v>
      </c>
      <c r="I185" s="2" t="s">
        <v>5</v>
      </c>
      <c r="J185" s="3" t="s">
        <v>6</v>
      </c>
      <c r="K185" s="2" t="s">
        <v>7</v>
      </c>
    </row>
    <row r="186" spans="1:11" x14ac:dyDescent="0.25">
      <c r="A186" s="1"/>
      <c r="B186" s="1" t="s">
        <v>42</v>
      </c>
      <c r="C186" s="1"/>
      <c r="D186" s="34"/>
      <c r="E186" s="1"/>
      <c r="F186" s="1"/>
      <c r="G186" s="34"/>
      <c r="H186" s="1"/>
      <c r="I186" s="1">
        <v>0</v>
      </c>
      <c r="J186" s="34">
        <v>0</v>
      </c>
      <c r="K186" s="1">
        <v>0</v>
      </c>
    </row>
    <row r="187" spans="1:11" ht="15.75" x14ac:dyDescent="0.25">
      <c r="A187" s="7">
        <v>42009</v>
      </c>
      <c r="B187" s="8" t="s">
        <v>43</v>
      </c>
      <c r="C187" s="6">
        <v>500</v>
      </c>
      <c r="D187" s="27">
        <f>+E187/C187</f>
        <v>2.2499999999999999E-2</v>
      </c>
      <c r="E187" s="8">
        <v>11.25</v>
      </c>
      <c r="F187" s="8"/>
      <c r="G187" s="27"/>
      <c r="H187" s="8"/>
      <c r="I187" s="6">
        <f>+I186+C187</f>
        <v>500</v>
      </c>
      <c r="J187" s="27">
        <f>+K187/I187</f>
        <v>2.2499999999999999E-2</v>
      </c>
      <c r="K187" s="8">
        <f>+K186+E187</f>
        <v>11.25</v>
      </c>
    </row>
    <row r="188" spans="1:11" ht="30" x14ac:dyDescent="0.25">
      <c r="A188" s="307"/>
      <c r="B188" s="309" t="s">
        <v>527</v>
      </c>
      <c r="C188" s="222"/>
      <c r="D188" s="223"/>
      <c r="E188" s="222"/>
      <c r="F188" s="222">
        <v>3</v>
      </c>
      <c r="G188" s="223">
        <f>+J187</f>
        <v>2.2499999999999999E-2</v>
      </c>
      <c r="H188" s="223">
        <f>+G188*F188</f>
        <v>6.7500000000000004E-2</v>
      </c>
      <c r="I188" s="222">
        <f>+I187-F188</f>
        <v>497</v>
      </c>
      <c r="J188" s="223">
        <f>+K188/I188</f>
        <v>2.2499999999999999E-2</v>
      </c>
      <c r="K188" s="223">
        <f>+K187-H188</f>
        <v>11.182499999999999</v>
      </c>
    </row>
    <row r="189" spans="1:11" ht="30" x14ac:dyDescent="0.25">
      <c r="A189" s="307"/>
      <c r="B189" s="309" t="s">
        <v>528</v>
      </c>
      <c r="C189" s="222"/>
      <c r="D189" s="223"/>
      <c r="E189" s="222"/>
      <c r="F189" s="222">
        <v>3</v>
      </c>
      <c r="G189" s="223">
        <f>+G188</f>
        <v>2.2499999999999999E-2</v>
      </c>
      <c r="H189" s="223">
        <f>+G189*F189</f>
        <v>6.7500000000000004E-2</v>
      </c>
      <c r="I189" s="222">
        <f>+I188-F189</f>
        <v>494</v>
      </c>
      <c r="J189" s="223">
        <f>+K189/I189</f>
        <v>2.2499999999999996E-2</v>
      </c>
      <c r="K189" s="223">
        <f>+K188-H189</f>
        <v>11.114999999999998</v>
      </c>
    </row>
    <row r="190" spans="1:11" x14ac:dyDescent="0.25">
      <c r="A190" s="5"/>
      <c r="B190" s="2"/>
      <c r="C190" s="2"/>
      <c r="D190" s="3"/>
      <c r="E190" s="2"/>
      <c r="F190" s="2"/>
      <c r="G190" s="3"/>
      <c r="H190" s="3"/>
      <c r="I190" s="2"/>
      <c r="J190" s="3"/>
      <c r="K190" s="3"/>
    </row>
    <row r="193" spans="1:11" ht="15.75" x14ac:dyDescent="0.25">
      <c r="A193" s="456" t="s">
        <v>10</v>
      </c>
      <c r="B193" s="456"/>
      <c r="C193" s="456"/>
      <c r="D193" s="456"/>
      <c r="E193" s="456"/>
      <c r="F193" s="456"/>
      <c r="G193" s="456"/>
      <c r="H193" s="456"/>
      <c r="I193" s="456"/>
      <c r="J193" s="456"/>
      <c r="K193" s="456"/>
    </row>
    <row r="194" spans="1:11" ht="15.75" x14ac:dyDescent="0.25">
      <c r="A194" s="456" t="s">
        <v>11</v>
      </c>
      <c r="B194" s="456"/>
      <c r="C194" s="456"/>
      <c r="D194" s="456"/>
      <c r="E194" s="456"/>
      <c r="F194" s="456"/>
      <c r="G194" s="456"/>
      <c r="H194" s="456"/>
      <c r="I194" s="456"/>
      <c r="J194" s="456"/>
      <c r="K194" s="456"/>
    </row>
    <row r="195" spans="1:11" x14ac:dyDescent="0.25">
      <c r="A195" s="2" t="s">
        <v>8</v>
      </c>
      <c r="B195" s="465" t="s">
        <v>174</v>
      </c>
      <c r="C195" s="466"/>
      <c r="D195" s="466"/>
      <c r="E195" s="467"/>
      <c r="F195" s="10" t="s">
        <v>48</v>
      </c>
      <c r="G195" s="468" t="s">
        <v>49</v>
      </c>
      <c r="H195" s="469"/>
      <c r="I195" s="469"/>
      <c r="J195" s="469"/>
      <c r="K195" s="470"/>
    </row>
    <row r="196" spans="1:11" x14ac:dyDescent="0.25">
      <c r="A196" s="4" t="s">
        <v>9</v>
      </c>
      <c r="B196" s="471" t="s">
        <v>72</v>
      </c>
      <c r="C196" s="471"/>
      <c r="D196" s="471"/>
      <c r="E196" s="471"/>
      <c r="F196" s="11" t="s">
        <v>50</v>
      </c>
      <c r="G196" s="471" t="s">
        <v>654</v>
      </c>
      <c r="H196" s="471"/>
      <c r="I196" s="471"/>
      <c r="J196" s="471"/>
      <c r="K196" s="471"/>
    </row>
    <row r="197" spans="1:11" x14ac:dyDescent="0.25">
      <c r="A197" s="464" t="s">
        <v>0</v>
      </c>
      <c r="B197" s="464" t="s">
        <v>1</v>
      </c>
      <c r="C197" s="464" t="s">
        <v>2</v>
      </c>
      <c r="D197" s="464"/>
      <c r="E197" s="464"/>
      <c r="F197" s="464" t="s">
        <v>3</v>
      </c>
      <c r="G197" s="464"/>
      <c r="H197" s="464"/>
      <c r="I197" s="464" t="s">
        <v>4</v>
      </c>
      <c r="J197" s="464"/>
      <c r="K197" s="464"/>
    </row>
    <row r="198" spans="1:11" x14ac:dyDescent="0.25">
      <c r="A198" s="464"/>
      <c r="B198" s="464"/>
      <c r="C198" s="2" t="s">
        <v>5</v>
      </c>
      <c r="D198" s="3" t="s">
        <v>6</v>
      </c>
      <c r="E198" s="2" t="s">
        <v>7</v>
      </c>
      <c r="F198" s="2" t="s">
        <v>5</v>
      </c>
      <c r="G198" s="3" t="s">
        <v>6</v>
      </c>
      <c r="H198" s="2" t="s">
        <v>7</v>
      </c>
      <c r="I198" s="2" t="s">
        <v>5</v>
      </c>
      <c r="J198" s="3" t="s">
        <v>6</v>
      </c>
      <c r="K198" s="2" t="s">
        <v>7</v>
      </c>
    </row>
    <row r="199" spans="1:11" x14ac:dyDescent="0.25">
      <c r="A199" s="1"/>
      <c r="B199" s="1" t="s">
        <v>42</v>
      </c>
      <c r="C199" s="1"/>
      <c r="D199" s="34"/>
      <c r="E199" s="1"/>
      <c r="F199" s="1"/>
      <c r="G199" s="34"/>
      <c r="H199" s="1"/>
      <c r="I199" s="1">
        <v>0</v>
      </c>
      <c r="J199" s="34">
        <v>0</v>
      </c>
      <c r="K199" s="1">
        <v>0</v>
      </c>
    </row>
    <row r="200" spans="1:11" ht="15.75" x14ac:dyDescent="0.25">
      <c r="A200" s="7">
        <v>42009</v>
      </c>
      <c r="B200" s="8" t="s">
        <v>43</v>
      </c>
      <c r="C200" s="6">
        <v>2000</v>
      </c>
      <c r="D200" s="27">
        <f>+E200/C200</f>
        <v>2.955E-2</v>
      </c>
      <c r="E200" s="8">
        <v>59.1</v>
      </c>
      <c r="F200" s="8"/>
      <c r="G200" s="27"/>
      <c r="H200" s="8"/>
      <c r="I200" s="6">
        <f>+I199+C200</f>
        <v>2000</v>
      </c>
      <c r="J200" s="27">
        <f t="shared" ref="J200:J207" si="0">+K200/I200</f>
        <v>2.955E-2</v>
      </c>
      <c r="K200" s="8">
        <f>+K199+E200</f>
        <v>59.1</v>
      </c>
    </row>
    <row r="201" spans="1:11" x14ac:dyDescent="0.25">
      <c r="A201" s="62">
        <v>42283</v>
      </c>
      <c r="B201" s="63" t="s">
        <v>326</v>
      </c>
      <c r="C201" s="64"/>
      <c r="D201" s="65"/>
      <c r="E201" s="64"/>
      <c r="F201" s="64">
        <v>1</v>
      </c>
      <c r="G201" s="65">
        <f>+J200</f>
        <v>2.955E-2</v>
      </c>
      <c r="H201" s="64">
        <f t="shared" ref="H201:H207" si="1">+G201*F201</f>
        <v>2.955E-2</v>
      </c>
      <c r="I201" s="64">
        <f t="shared" ref="I201:I207" si="2">+I200-F201</f>
        <v>1999</v>
      </c>
      <c r="J201" s="65">
        <f t="shared" si="0"/>
        <v>2.955E-2</v>
      </c>
      <c r="K201" s="65">
        <f t="shared" ref="K201:K207" si="3">+K200-H201</f>
        <v>59.070450000000001</v>
      </c>
    </row>
    <row r="202" spans="1:11" x14ac:dyDescent="0.25">
      <c r="A202" s="125">
        <v>42296</v>
      </c>
      <c r="B202" s="63" t="s">
        <v>359</v>
      </c>
      <c r="C202" s="68"/>
      <c r="D202" s="69"/>
      <c r="E202" s="68"/>
      <c r="F202" s="68">
        <v>1</v>
      </c>
      <c r="G202" s="69">
        <f>+J201</f>
        <v>2.955E-2</v>
      </c>
      <c r="H202" s="68">
        <f t="shared" si="1"/>
        <v>2.955E-2</v>
      </c>
      <c r="I202" s="68">
        <f t="shared" si="2"/>
        <v>1998</v>
      </c>
      <c r="J202" s="69">
        <f t="shared" si="0"/>
        <v>2.955E-2</v>
      </c>
      <c r="K202" s="69">
        <f t="shared" si="3"/>
        <v>59.040900000000001</v>
      </c>
    </row>
    <row r="203" spans="1:11" x14ac:dyDescent="0.25">
      <c r="A203" s="122">
        <v>42299</v>
      </c>
      <c r="B203" s="63" t="s">
        <v>375</v>
      </c>
      <c r="C203" s="68"/>
      <c r="D203" s="69"/>
      <c r="E203" s="68"/>
      <c r="F203" s="68">
        <v>1</v>
      </c>
      <c r="G203" s="69">
        <f>+J202</f>
        <v>2.955E-2</v>
      </c>
      <c r="H203" s="68">
        <f t="shared" si="1"/>
        <v>2.955E-2</v>
      </c>
      <c r="I203" s="68">
        <f t="shared" si="2"/>
        <v>1997</v>
      </c>
      <c r="J203" s="69">
        <f t="shared" si="0"/>
        <v>2.955E-2</v>
      </c>
      <c r="K203" s="69">
        <f t="shared" si="3"/>
        <v>59.01135</v>
      </c>
    </row>
    <row r="204" spans="1:11" x14ac:dyDescent="0.25">
      <c r="A204" s="122">
        <v>42305</v>
      </c>
      <c r="B204" s="63" t="s">
        <v>395</v>
      </c>
      <c r="C204" s="68"/>
      <c r="D204" s="69"/>
      <c r="E204" s="68"/>
      <c r="F204" s="68">
        <v>1</v>
      </c>
      <c r="G204" s="69">
        <f>+J203</f>
        <v>2.955E-2</v>
      </c>
      <c r="H204" s="68">
        <f t="shared" si="1"/>
        <v>2.955E-2</v>
      </c>
      <c r="I204" s="68">
        <f t="shared" si="2"/>
        <v>1996</v>
      </c>
      <c r="J204" s="69">
        <f t="shared" si="0"/>
        <v>2.955E-2</v>
      </c>
      <c r="K204" s="69">
        <f t="shared" si="3"/>
        <v>58.9818</v>
      </c>
    </row>
    <row r="205" spans="1:11" ht="30" x14ac:dyDescent="0.25">
      <c r="A205" s="307"/>
      <c r="B205" s="309" t="s">
        <v>527</v>
      </c>
      <c r="C205" s="222"/>
      <c r="D205" s="223"/>
      <c r="E205" s="222"/>
      <c r="F205" s="222">
        <v>1</v>
      </c>
      <c r="G205" s="223">
        <f>+J204</f>
        <v>2.955E-2</v>
      </c>
      <c r="H205" s="223">
        <f t="shared" si="1"/>
        <v>2.955E-2</v>
      </c>
      <c r="I205" s="222">
        <f t="shared" si="2"/>
        <v>1995</v>
      </c>
      <c r="J205" s="223">
        <f t="shared" si="0"/>
        <v>2.955E-2</v>
      </c>
      <c r="K205" s="223">
        <f t="shared" si="3"/>
        <v>58.952249999999999</v>
      </c>
    </row>
    <row r="206" spans="1:11" ht="30" x14ac:dyDescent="0.25">
      <c r="A206" s="307"/>
      <c r="B206" s="309" t="s">
        <v>527</v>
      </c>
      <c r="C206" s="222"/>
      <c r="D206" s="223"/>
      <c r="E206" s="222"/>
      <c r="F206" s="222">
        <v>1</v>
      </c>
      <c r="G206" s="223">
        <f>+G205</f>
        <v>2.955E-2</v>
      </c>
      <c r="H206" s="223">
        <f t="shared" si="1"/>
        <v>2.955E-2</v>
      </c>
      <c r="I206" s="222">
        <f t="shared" si="2"/>
        <v>1994</v>
      </c>
      <c r="J206" s="223">
        <f t="shared" si="0"/>
        <v>2.955E-2</v>
      </c>
      <c r="K206" s="223">
        <f t="shared" si="3"/>
        <v>58.922699999999999</v>
      </c>
    </row>
    <row r="207" spans="1:11" ht="30" x14ac:dyDescent="0.25">
      <c r="A207" s="307"/>
      <c r="B207" s="309" t="s">
        <v>525</v>
      </c>
      <c r="C207" s="222"/>
      <c r="D207" s="223"/>
      <c r="E207" s="222"/>
      <c r="F207" s="222">
        <v>1</v>
      </c>
      <c r="G207" s="223">
        <f>+G206</f>
        <v>2.955E-2</v>
      </c>
      <c r="H207" s="223">
        <f t="shared" si="1"/>
        <v>2.955E-2</v>
      </c>
      <c r="I207" s="222">
        <f t="shared" si="2"/>
        <v>1993</v>
      </c>
      <c r="J207" s="223">
        <f t="shared" si="0"/>
        <v>2.955E-2</v>
      </c>
      <c r="K207" s="223">
        <f t="shared" si="3"/>
        <v>58.893149999999999</v>
      </c>
    </row>
    <row r="208" spans="1:11" x14ac:dyDescent="0.25">
      <c r="A208" s="314"/>
      <c r="B208" s="315"/>
      <c r="C208" s="110"/>
      <c r="D208" s="316"/>
      <c r="E208" s="110"/>
      <c r="F208" s="110"/>
      <c r="G208" s="316"/>
      <c r="H208" s="316"/>
      <c r="I208" s="110"/>
      <c r="J208" s="316"/>
      <c r="K208" s="316"/>
    </row>
    <row r="209" spans="1:11" x14ac:dyDescent="0.25">
      <c r="A209" s="5"/>
      <c r="B209" s="2"/>
      <c r="C209" s="2"/>
      <c r="D209" s="3"/>
      <c r="E209" s="2"/>
      <c r="F209" s="2"/>
      <c r="G209" s="3"/>
      <c r="H209" s="3"/>
      <c r="I209" s="2"/>
      <c r="J209" s="3"/>
      <c r="K209" s="3"/>
    </row>
    <row r="210" spans="1:11" x14ac:dyDescent="0.25">
      <c r="A210" s="28"/>
      <c r="B210" s="29"/>
      <c r="C210" s="29"/>
      <c r="D210" s="30"/>
      <c r="E210" s="29"/>
      <c r="F210" s="29"/>
      <c r="G210" s="30"/>
      <c r="H210" s="30"/>
      <c r="I210" s="29"/>
      <c r="J210" s="30"/>
      <c r="K210" s="30"/>
    </row>
    <row r="213" spans="1:11" ht="15.75" x14ac:dyDescent="0.25">
      <c r="A213" s="456" t="s">
        <v>10</v>
      </c>
      <c r="B213" s="456"/>
      <c r="C213" s="456"/>
      <c r="D213" s="456"/>
      <c r="E213" s="456"/>
      <c r="F213" s="456"/>
      <c r="G213" s="456"/>
      <c r="H213" s="456"/>
      <c r="I213" s="456"/>
      <c r="J213" s="456"/>
      <c r="K213" s="456"/>
    </row>
    <row r="214" spans="1:11" ht="15.75" x14ac:dyDescent="0.25">
      <c r="A214" s="456" t="s">
        <v>11</v>
      </c>
      <c r="B214" s="456"/>
      <c r="C214" s="456"/>
      <c r="D214" s="456"/>
      <c r="E214" s="456"/>
      <c r="F214" s="456"/>
      <c r="G214" s="456"/>
      <c r="H214" s="456"/>
      <c r="I214" s="456"/>
      <c r="J214" s="456"/>
      <c r="K214" s="456"/>
    </row>
    <row r="215" spans="1:11" x14ac:dyDescent="0.25">
      <c r="A215" s="2" t="s">
        <v>8</v>
      </c>
      <c r="B215" s="465" t="s">
        <v>175</v>
      </c>
      <c r="C215" s="466"/>
      <c r="D215" s="466"/>
      <c r="E215" s="467"/>
      <c r="F215" s="10" t="s">
        <v>48</v>
      </c>
      <c r="G215" s="468" t="s">
        <v>49</v>
      </c>
      <c r="H215" s="469"/>
      <c r="I215" s="469"/>
      <c r="J215" s="469"/>
      <c r="K215" s="470"/>
    </row>
    <row r="216" spans="1:11" x14ac:dyDescent="0.25">
      <c r="A216" s="4" t="s">
        <v>9</v>
      </c>
      <c r="B216" s="471" t="s">
        <v>72</v>
      </c>
      <c r="C216" s="471"/>
      <c r="D216" s="471"/>
      <c r="E216" s="471"/>
      <c r="F216" s="11" t="s">
        <v>50</v>
      </c>
      <c r="G216" s="471" t="s">
        <v>654</v>
      </c>
      <c r="H216" s="471"/>
      <c r="I216" s="471"/>
      <c r="J216" s="471"/>
      <c r="K216" s="471"/>
    </row>
    <row r="217" spans="1:11" x14ac:dyDescent="0.25">
      <c r="A217" s="464" t="s">
        <v>0</v>
      </c>
      <c r="B217" s="464" t="s">
        <v>1</v>
      </c>
      <c r="C217" s="464" t="s">
        <v>2</v>
      </c>
      <c r="D217" s="464"/>
      <c r="E217" s="464"/>
      <c r="F217" s="464" t="s">
        <v>3</v>
      </c>
      <c r="G217" s="464"/>
      <c r="H217" s="464"/>
      <c r="I217" s="464" t="s">
        <v>4</v>
      </c>
      <c r="J217" s="464"/>
      <c r="K217" s="464"/>
    </row>
    <row r="218" spans="1:11" x14ac:dyDescent="0.25">
      <c r="A218" s="464"/>
      <c r="B218" s="464"/>
      <c r="C218" s="2" t="s">
        <v>5</v>
      </c>
      <c r="D218" s="3" t="s">
        <v>6</v>
      </c>
      <c r="E218" s="2" t="s">
        <v>7</v>
      </c>
      <c r="F218" s="2" t="s">
        <v>5</v>
      </c>
      <c r="G218" s="3" t="s">
        <v>6</v>
      </c>
      <c r="H218" s="2" t="s">
        <v>7</v>
      </c>
      <c r="I218" s="2" t="s">
        <v>5</v>
      </c>
      <c r="J218" s="3" t="s">
        <v>6</v>
      </c>
      <c r="K218" s="2" t="s">
        <v>7</v>
      </c>
    </row>
    <row r="219" spans="1:11" x14ac:dyDescent="0.25">
      <c r="A219" s="1"/>
      <c r="B219" s="1" t="s">
        <v>42</v>
      </c>
      <c r="C219" s="1"/>
      <c r="D219" s="34"/>
      <c r="E219" s="1"/>
      <c r="F219" s="1"/>
      <c r="G219" s="34"/>
      <c r="H219" s="1"/>
      <c r="I219" s="1">
        <v>0</v>
      </c>
      <c r="J219" s="34">
        <v>0</v>
      </c>
      <c r="K219" s="1">
        <v>0</v>
      </c>
    </row>
    <row r="220" spans="1:11" ht="15.75" x14ac:dyDescent="0.25">
      <c r="A220" s="7">
        <v>42009</v>
      </c>
      <c r="B220" s="8" t="s">
        <v>43</v>
      </c>
      <c r="C220" s="6">
        <v>2000</v>
      </c>
      <c r="D220" s="27">
        <f>+E220/C220</f>
        <v>3.1920000000000004E-2</v>
      </c>
      <c r="E220" s="8">
        <v>63.84</v>
      </c>
      <c r="F220" s="8"/>
      <c r="G220" s="27"/>
      <c r="H220" s="8"/>
      <c r="I220" s="6">
        <f>+I219+C220</f>
        <v>2000</v>
      </c>
      <c r="J220" s="27">
        <f t="shared" ref="J220:J225" si="4">+K220/I220</f>
        <v>3.1920000000000004E-2</v>
      </c>
      <c r="K220" s="8">
        <f>+K219+E220</f>
        <v>63.84</v>
      </c>
    </row>
    <row r="221" spans="1:11" x14ac:dyDescent="0.25">
      <c r="A221" s="62">
        <v>42283</v>
      </c>
      <c r="B221" s="63" t="s">
        <v>326</v>
      </c>
      <c r="C221" s="64"/>
      <c r="D221" s="65"/>
      <c r="E221" s="64"/>
      <c r="F221" s="64">
        <v>1.5</v>
      </c>
      <c r="G221" s="65">
        <f>+J220</f>
        <v>3.1920000000000004E-2</v>
      </c>
      <c r="H221" s="65">
        <f t="shared" ref="H221:H225" si="5">+G221*F221</f>
        <v>4.7880000000000006E-2</v>
      </c>
      <c r="I221" s="64">
        <f>+I220-F221</f>
        <v>1998.5</v>
      </c>
      <c r="J221" s="65">
        <f t="shared" si="4"/>
        <v>3.1920000000000004E-2</v>
      </c>
      <c r="K221" s="65">
        <f t="shared" ref="K221:K225" si="6">+K220-H221</f>
        <v>63.792120000000004</v>
      </c>
    </row>
    <row r="222" spans="1:11" x14ac:dyDescent="0.25">
      <c r="A222" s="125">
        <v>42296</v>
      </c>
      <c r="B222" s="63" t="s">
        <v>359</v>
      </c>
      <c r="C222" s="68"/>
      <c r="D222" s="69"/>
      <c r="E222" s="68"/>
      <c r="F222" s="64">
        <v>1.5</v>
      </c>
      <c r="G222" s="65">
        <f>+J221</f>
        <v>3.1920000000000004E-2</v>
      </c>
      <c r="H222" s="65">
        <f t="shared" si="5"/>
        <v>4.7880000000000006E-2</v>
      </c>
      <c r="I222" s="64">
        <f>+I221-F222</f>
        <v>1997</v>
      </c>
      <c r="J222" s="65">
        <f t="shared" si="4"/>
        <v>3.1920000000000004E-2</v>
      </c>
      <c r="K222" s="65">
        <f t="shared" si="6"/>
        <v>63.744240000000005</v>
      </c>
    </row>
    <row r="223" spans="1:11" x14ac:dyDescent="0.25">
      <c r="A223" s="122">
        <v>42299</v>
      </c>
      <c r="B223" s="63" t="s">
        <v>375</v>
      </c>
      <c r="C223" s="68"/>
      <c r="D223" s="69"/>
      <c r="E223" s="68"/>
      <c r="F223" s="68">
        <v>1.5</v>
      </c>
      <c r="G223" s="65">
        <f>+J222</f>
        <v>3.1920000000000004E-2</v>
      </c>
      <c r="H223" s="65">
        <f t="shared" si="5"/>
        <v>4.7880000000000006E-2</v>
      </c>
      <c r="I223" s="64">
        <f t="shared" ref="I223" si="7">+I222-F223</f>
        <v>1995.5</v>
      </c>
      <c r="J223" s="65">
        <f t="shared" si="4"/>
        <v>3.1920000000000004E-2</v>
      </c>
      <c r="K223" s="65">
        <f t="shared" si="6"/>
        <v>63.696360000000006</v>
      </c>
    </row>
    <row r="224" spans="1:11" x14ac:dyDescent="0.25">
      <c r="A224" s="122">
        <v>42305</v>
      </c>
      <c r="B224" s="63" t="s">
        <v>395</v>
      </c>
      <c r="C224" s="68"/>
      <c r="D224" s="69"/>
      <c r="E224" s="68"/>
      <c r="F224" s="68">
        <v>1.5</v>
      </c>
      <c r="G224" s="65">
        <f>+J223</f>
        <v>3.1920000000000004E-2</v>
      </c>
      <c r="H224" s="65">
        <f t="shared" si="5"/>
        <v>4.7880000000000006E-2</v>
      </c>
      <c r="I224" s="64">
        <f t="shared" ref="I224" si="8">+I223-F224</f>
        <v>1994</v>
      </c>
      <c r="J224" s="65">
        <f t="shared" si="4"/>
        <v>3.1920000000000004E-2</v>
      </c>
      <c r="K224" s="65">
        <f t="shared" si="6"/>
        <v>63.648480000000006</v>
      </c>
    </row>
    <row r="225" spans="1:11" ht="30" x14ac:dyDescent="0.25">
      <c r="A225" s="307"/>
      <c r="B225" s="309" t="s">
        <v>527</v>
      </c>
      <c r="C225" s="222"/>
      <c r="D225" s="223"/>
      <c r="E225" s="222"/>
      <c r="F225" s="222">
        <v>1.5</v>
      </c>
      <c r="G225" s="321">
        <f>+G224</f>
        <v>3.1920000000000004E-2</v>
      </c>
      <c r="H225" s="321">
        <f t="shared" si="5"/>
        <v>4.7880000000000006E-2</v>
      </c>
      <c r="I225" s="322">
        <f>+I224-F225</f>
        <v>1992.5</v>
      </c>
      <c r="J225" s="321">
        <f t="shared" si="4"/>
        <v>3.1920000000000004E-2</v>
      </c>
      <c r="K225" s="321">
        <f t="shared" si="6"/>
        <v>63.600600000000007</v>
      </c>
    </row>
    <row r="226" spans="1:11" x14ac:dyDescent="0.25">
      <c r="A226" s="314"/>
      <c r="B226" s="317"/>
      <c r="C226" s="110"/>
      <c r="D226" s="316"/>
      <c r="E226" s="110"/>
      <c r="F226" s="110"/>
      <c r="G226" s="318"/>
      <c r="H226" s="319"/>
      <c r="I226" s="320"/>
      <c r="J226" s="318"/>
      <c r="K226" s="318"/>
    </row>
    <row r="227" spans="1:11" x14ac:dyDescent="0.25">
      <c r="A227" s="314"/>
      <c r="B227" s="317"/>
      <c r="C227" s="110"/>
      <c r="D227" s="316"/>
      <c r="E227" s="110"/>
      <c r="F227" s="110"/>
      <c r="G227" s="318"/>
      <c r="H227" s="319"/>
      <c r="I227" s="320"/>
      <c r="J227" s="318"/>
      <c r="K227" s="318"/>
    </row>
    <row r="228" spans="1:11" x14ac:dyDescent="0.25">
      <c r="A228" s="28"/>
      <c r="B228" s="29"/>
      <c r="C228" s="29"/>
      <c r="D228" s="30"/>
      <c r="E228" s="29"/>
      <c r="F228" s="29"/>
      <c r="G228" s="30"/>
      <c r="H228" s="30"/>
      <c r="I228" s="155"/>
      <c r="J228" s="30"/>
      <c r="K228" s="30"/>
    </row>
    <row r="231" spans="1:11" ht="15.75" x14ac:dyDescent="0.25">
      <c r="A231" s="456" t="s">
        <v>10</v>
      </c>
      <c r="B231" s="456"/>
      <c r="C231" s="456"/>
      <c r="D231" s="456"/>
      <c r="E231" s="456"/>
      <c r="F231" s="456"/>
      <c r="G231" s="456"/>
      <c r="H231" s="456"/>
      <c r="I231" s="456"/>
      <c r="J231" s="456"/>
      <c r="K231" s="456"/>
    </row>
    <row r="232" spans="1:11" ht="15.75" x14ac:dyDescent="0.25">
      <c r="A232" s="456" t="s">
        <v>11</v>
      </c>
      <c r="B232" s="456"/>
      <c r="C232" s="456"/>
      <c r="D232" s="456"/>
      <c r="E232" s="456"/>
      <c r="F232" s="456"/>
      <c r="G232" s="456"/>
      <c r="H232" s="456"/>
      <c r="I232" s="456"/>
      <c r="J232" s="456"/>
      <c r="K232" s="456"/>
    </row>
    <row r="233" spans="1:11" x14ac:dyDescent="0.25">
      <c r="A233" s="2" t="s">
        <v>8</v>
      </c>
      <c r="B233" s="465" t="s">
        <v>178</v>
      </c>
      <c r="C233" s="466"/>
      <c r="D233" s="466"/>
      <c r="E233" s="467"/>
      <c r="F233" s="10" t="s">
        <v>48</v>
      </c>
      <c r="G233" s="468" t="s">
        <v>49</v>
      </c>
      <c r="H233" s="469"/>
      <c r="I233" s="469"/>
      <c r="J233" s="469"/>
      <c r="K233" s="470"/>
    </row>
    <row r="234" spans="1:11" x14ac:dyDescent="0.25">
      <c r="A234" s="4" t="s">
        <v>9</v>
      </c>
      <c r="B234" s="471" t="s">
        <v>77</v>
      </c>
      <c r="C234" s="471"/>
      <c r="D234" s="471"/>
      <c r="E234" s="471"/>
      <c r="F234" s="11" t="s">
        <v>50</v>
      </c>
      <c r="G234" s="471" t="s">
        <v>187</v>
      </c>
      <c r="H234" s="471"/>
      <c r="I234" s="471"/>
      <c r="J234" s="471"/>
      <c r="K234" s="471"/>
    </row>
    <row r="235" spans="1:11" x14ac:dyDescent="0.25">
      <c r="A235" s="464" t="s">
        <v>0</v>
      </c>
      <c r="B235" s="464" t="s">
        <v>1</v>
      </c>
      <c r="C235" s="464" t="s">
        <v>2</v>
      </c>
      <c r="D235" s="464"/>
      <c r="E235" s="464"/>
      <c r="F235" s="464" t="s">
        <v>3</v>
      </c>
      <c r="G235" s="464"/>
      <c r="H235" s="464"/>
      <c r="I235" s="464" t="s">
        <v>4</v>
      </c>
      <c r="J235" s="464"/>
      <c r="K235" s="464"/>
    </row>
    <row r="236" spans="1:11" x14ac:dyDescent="0.25">
      <c r="A236" s="464"/>
      <c r="B236" s="464"/>
      <c r="C236" s="2" t="s">
        <v>5</v>
      </c>
      <c r="D236" s="3" t="s">
        <v>6</v>
      </c>
      <c r="E236" s="2" t="s">
        <v>7</v>
      </c>
      <c r="F236" s="2" t="s">
        <v>5</v>
      </c>
      <c r="G236" s="3" t="s">
        <v>6</v>
      </c>
      <c r="H236" s="2" t="s">
        <v>7</v>
      </c>
      <c r="I236" s="2" t="s">
        <v>5</v>
      </c>
      <c r="J236" s="3" t="s">
        <v>6</v>
      </c>
      <c r="K236" s="2" t="s">
        <v>7</v>
      </c>
    </row>
    <row r="237" spans="1:11" x14ac:dyDescent="0.25">
      <c r="A237" s="1"/>
      <c r="B237" s="1" t="s">
        <v>42</v>
      </c>
      <c r="C237" s="1"/>
      <c r="D237" s="34"/>
      <c r="E237" s="1"/>
      <c r="F237" s="1"/>
      <c r="G237" s="34"/>
      <c r="H237" s="1"/>
      <c r="I237" s="1">
        <v>0</v>
      </c>
      <c r="J237" s="34">
        <v>0</v>
      </c>
      <c r="K237" s="1">
        <v>0</v>
      </c>
    </row>
    <row r="238" spans="1:11" ht="15.75" x14ac:dyDescent="0.25">
      <c r="A238" s="7">
        <v>42009</v>
      </c>
      <c r="B238" s="8" t="s">
        <v>43</v>
      </c>
      <c r="C238" s="6">
        <v>100</v>
      </c>
      <c r="D238" s="27">
        <f>+E238/C238</f>
        <v>0.6</v>
      </c>
      <c r="E238" s="8">
        <v>60</v>
      </c>
      <c r="F238" s="8"/>
      <c r="G238" s="27"/>
      <c r="H238" s="8"/>
      <c r="I238" s="6">
        <f>+I237+C238</f>
        <v>100</v>
      </c>
      <c r="J238" s="27">
        <f>+K238/I238</f>
        <v>0.6</v>
      </c>
      <c r="K238" s="8">
        <f>+K237+E238</f>
        <v>60</v>
      </c>
    </row>
    <row r="239" spans="1:11" ht="30" x14ac:dyDescent="0.25">
      <c r="A239" s="307"/>
      <c r="B239" s="309" t="s">
        <v>525</v>
      </c>
      <c r="C239" s="222"/>
      <c r="D239" s="223"/>
      <c r="E239" s="222"/>
      <c r="F239" s="222">
        <v>2.5</v>
      </c>
      <c r="G239" s="223">
        <f>+J238</f>
        <v>0.6</v>
      </c>
      <c r="H239" s="222">
        <f>+G239*F239</f>
        <v>1.5</v>
      </c>
      <c r="I239" s="222">
        <f>+I238-F239</f>
        <v>97.5</v>
      </c>
      <c r="J239" s="223">
        <f>+K239/I239</f>
        <v>0.6</v>
      </c>
      <c r="K239" s="223">
        <f>+K238-H239</f>
        <v>58.5</v>
      </c>
    </row>
    <row r="240" spans="1:11" x14ac:dyDescent="0.25">
      <c r="A240" s="5"/>
      <c r="B240" s="2"/>
      <c r="C240" s="2"/>
      <c r="D240" s="3"/>
      <c r="E240" s="2"/>
      <c r="F240" s="2"/>
      <c r="G240" s="3"/>
      <c r="H240" s="2"/>
      <c r="I240" s="2"/>
      <c r="J240" s="3"/>
      <c r="K240" s="3"/>
    </row>
    <row r="241" spans="1:11" x14ac:dyDescent="0.25">
      <c r="A241" s="5"/>
      <c r="B241" s="2"/>
      <c r="C241" s="2"/>
      <c r="D241" s="3"/>
      <c r="E241" s="2"/>
      <c r="F241" s="2"/>
      <c r="G241" s="3"/>
      <c r="H241" s="3"/>
      <c r="I241" s="2"/>
      <c r="J241" s="3"/>
      <c r="K241" s="3"/>
    </row>
    <row r="244" spans="1:11" ht="15.75" x14ac:dyDescent="0.25">
      <c r="A244" s="456" t="s">
        <v>10</v>
      </c>
      <c r="B244" s="456"/>
      <c r="C244" s="456"/>
      <c r="D244" s="456"/>
      <c r="E244" s="456"/>
      <c r="F244" s="456"/>
      <c r="G244" s="456"/>
      <c r="H244" s="456"/>
      <c r="I244" s="456"/>
      <c r="J244" s="456"/>
      <c r="K244" s="456"/>
    </row>
    <row r="245" spans="1:11" ht="15.75" x14ac:dyDescent="0.25">
      <c r="A245" s="456" t="s">
        <v>11</v>
      </c>
      <c r="B245" s="456"/>
      <c r="C245" s="456"/>
      <c r="D245" s="456"/>
      <c r="E245" s="456"/>
      <c r="F245" s="456"/>
      <c r="G245" s="456"/>
      <c r="H245" s="456"/>
      <c r="I245" s="456"/>
      <c r="J245" s="456"/>
      <c r="K245" s="456"/>
    </row>
    <row r="246" spans="1:11" x14ac:dyDescent="0.25">
      <c r="A246" s="2" t="s">
        <v>8</v>
      </c>
      <c r="B246" s="465" t="s">
        <v>180</v>
      </c>
      <c r="C246" s="466"/>
      <c r="D246" s="466"/>
      <c r="E246" s="467"/>
      <c r="F246" s="10" t="s">
        <v>48</v>
      </c>
      <c r="G246" s="468" t="s">
        <v>49</v>
      </c>
      <c r="H246" s="469"/>
      <c r="I246" s="469"/>
      <c r="J246" s="469"/>
      <c r="K246" s="470"/>
    </row>
    <row r="247" spans="1:11" x14ac:dyDescent="0.25">
      <c r="A247" s="4" t="s">
        <v>9</v>
      </c>
      <c r="B247" s="471" t="s">
        <v>77</v>
      </c>
      <c r="C247" s="471"/>
      <c r="D247" s="471"/>
      <c r="E247" s="471"/>
      <c r="F247" s="11" t="s">
        <v>50</v>
      </c>
      <c r="G247" s="471" t="s">
        <v>181</v>
      </c>
      <c r="H247" s="471"/>
      <c r="I247" s="471"/>
      <c r="J247" s="471"/>
      <c r="K247" s="471"/>
    </row>
    <row r="248" spans="1:11" x14ac:dyDescent="0.25">
      <c r="A248" s="464" t="s">
        <v>0</v>
      </c>
      <c r="B248" s="464" t="s">
        <v>1</v>
      </c>
      <c r="C248" s="464" t="s">
        <v>2</v>
      </c>
      <c r="D248" s="464"/>
      <c r="E248" s="464"/>
      <c r="F248" s="464" t="s">
        <v>3</v>
      </c>
      <c r="G248" s="464"/>
      <c r="H248" s="464"/>
      <c r="I248" s="464" t="s">
        <v>4</v>
      </c>
      <c r="J248" s="464"/>
      <c r="K248" s="464"/>
    </row>
    <row r="249" spans="1:11" x14ac:dyDescent="0.25">
      <c r="A249" s="464"/>
      <c r="B249" s="464"/>
      <c r="C249" s="2" t="s">
        <v>5</v>
      </c>
      <c r="D249" s="3" t="s">
        <v>6</v>
      </c>
      <c r="E249" s="2" t="s">
        <v>7</v>
      </c>
      <c r="F249" s="2" t="s">
        <v>5</v>
      </c>
      <c r="G249" s="3" t="s">
        <v>6</v>
      </c>
      <c r="H249" s="2" t="s">
        <v>7</v>
      </c>
      <c r="I249" s="2" t="s">
        <v>5</v>
      </c>
      <c r="J249" s="3" t="s">
        <v>6</v>
      </c>
      <c r="K249" s="2" t="s">
        <v>7</v>
      </c>
    </row>
    <row r="250" spans="1:11" x14ac:dyDescent="0.25">
      <c r="A250" s="1"/>
      <c r="B250" s="1" t="s">
        <v>42</v>
      </c>
      <c r="C250" s="1"/>
      <c r="D250" s="34"/>
      <c r="E250" s="1"/>
      <c r="F250" s="1"/>
      <c r="G250" s="34"/>
      <c r="H250" s="1"/>
      <c r="I250" s="1">
        <v>0</v>
      </c>
      <c r="J250" s="34">
        <v>0</v>
      </c>
      <c r="K250" s="1">
        <v>0</v>
      </c>
    </row>
    <row r="251" spans="1:11" ht="15.75" x14ac:dyDescent="0.25">
      <c r="A251" s="7">
        <v>42009</v>
      </c>
      <c r="B251" s="8" t="s">
        <v>43</v>
      </c>
      <c r="C251" s="6">
        <v>96</v>
      </c>
      <c r="D251" s="27">
        <f>+E251/C251</f>
        <v>0.41666666666666669</v>
      </c>
      <c r="E251" s="8">
        <v>40</v>
      </c>
      <c r="F251" s="8"/>
      <c r="G251" s="27"/>
      <c r="H251" s="8"/>
      <c r="I251" s="6">
        <f>+I250+C251</f>
        <v>96</v>
      </c>
      <c r="J251" s="27">
        <f>+K251/I251</f>
        <v>0.41666666666666669</v>
      </c>
      <c r="K251" s="8">
        <f>+K250+E251</f>
        <v>40</v>
      </c>
    </row>
    <row r="252" spans="1:11" ht="30" x14ac:dyDescent="0.25">
      <c r="A252" s="307"/>
      <c r="B252" s="309" t="s">
        <v>586</v>
      </c>
      <c r="C252" s="222"/>
      <c r="D252" s="223"/>
      <c r="E252" s="222"/>
      <c r="F252" s="222">
        <v>1</v>
      </c>
      <c r="G252" s="223">
        <f>+J251</f>
        <v>0.41666666666666669</v>
      </c>
      <c r="H252" s="223">
        <f>+G252*F252</f>
        <v>0.41666666666666669</v>
      </c>
      <c r="I252" s="222">
        <f>+I251-F252</f>
        <v>95</v>
      </c>
      <c r="J252" s="223">
        <f>+K252/I252</f>
        <v>0.41666666666666669</v>
      </c>
      <c r="K252" s="223">
        <f>+K251-H252</f>
        <v>39.583333333333336</v>
      </c>
    </row>
    <row r="253" spans="1:11" x14ac:dyDescent="0.25">
      <c r="A253" s="5"/>
      <c r="B253" s="2"/>
      <c r="C253" s="2"/>
      <c r="D253" s="3"/>
      <c r="E253" s="2"/>
      <c r="F253" s="2"/>
      <c r="G253" s="3"/>
      <c r="H253" s="2"/>
      <c r="I253" s="2"/>
      <c r="J253" s="3"/>
      <c r="K253" s="3"/>
    </row>
    <row r="254" spans="1:11" x14ac:dyDescent="0.25">
      <c r="A254" s="5"/>
      <c r="B254" s="2"/>
      <c r="C254" s="2"/>
      <c r="D254" s="3"/>
      <c r="E254" s="2"/>
      <c r="F254" s="2"/>
      <c r="G254" s="3"/>
      <c r="H254" s="3"/>
      <c r="I254" s="2"/>
      <c r="J254" s="3"/>
      <c r="K254" s="3"/>
    </row>
    <row r="257" spans="1:11" ht="15.75" x14ac:dyDescent="0.25">
      <c r="A257" s="456" t="s">
        <v>10</v>
      </c>
      <c r="B257" s="456"/>
      <c r="C257" s="456"/>
      <c r="D257" s="456"/>
      <c r="E257" s="456"/>
      <c r="F257" s="456"/>
      <c r="G257" s="456"/>
      <c r="H257" s="456"/>
      <c r="I257" s="456"/>
      <c r="J257" s="456"/>
      <c r="K257" s="456"/>
    </row>
    <row r="258" spans="1:11" ht="15.75" x14ac:dyDescent="0.25">
      <c r="A258" s="456" t="s">
        <v>11</v>
      </c>
      <c r="B258" s="456"/>
      <c r="C258" s="456"/>
      <c r="D258" s="456"/>
      <c r="E258" s="456"/>
      <c r="F258" s="456"/>
      <c r="G258" s="456"/>
      <c r="H258" s="456"/>
      <c r="I258" s="456"/>
      <c r="J258" s="456"/>
      <c r="K258" s="456"/>
    </row>
    <row r="259" spans="1:11" x14ac:dyDescent="0.25">
      <c r="A259" s="2" t="s">
        <v>8</v>
      </c>
      <c r="B259" s="465" t="s">
        <v>182</v>
      </c>
      <c r="C259" s="466"/>
      <c r="D259" s="466"/>
      <c r="E259" s="467"/>
      <c r="F259" s="10" t="s">
        <v>48</v>
      </c>
      <c r="G259" s="468" t="s">
        <v>49</v>
      </c>
      <c r="H259" s="469"/>
      <c r="I259" s="469"/>
      <c r="J259" s="469"/>
      <c r="K259" s="470"/>
    </row>
    <row r="260" spans="1:11" x14ac:dyDescent="0.25">
      <c r="A260" s="4" t="s">
        <v>9</v>
      </c>
      <c r="B260" s="471" t="s">
        <v>44</v>
      </c>
      <c r="C260" s="471"/>
      <c r="D260" s="471"/>
      <c r="E260" s="471"/>
      <c r="F260" s="11" t="s">
        <v>50</v>
      </c>
      <c r="G260" s="471" t="s">
        <v>183</v>
      </c>
      <c r="H260" s="471"/>
      <c r="I260" s="471"/>
      <c r="J260" s="471"/>
      <c r="K260" s="471"/>
    </row>
    <row r="261" spans="1:11" x14ac:dyDescent="0.25">
      <c r="A261" s="464" t="s">
        <v>0</v>
      </c>
      <c r="B261" s="464" t="s">
        <v>1</v>
      </c>
      <c r="C261" s="464" t="s">
        <v>2</v>
      </c>
      <c r="D261" s="464"/>
      <c r="E261" s="464"/>
      <c r="F261" s="464" t="s">
        <v>3</v>
      </c>
      <c r="G261" s="464"/>
      <c r="H261" s="464"/>
      <c r="I261" s="464" t="s">
        <v>4</v>
      </c>
      <c r="J261" s="464"/>
      <c r="K261" s="464"/>
    </row>
    <row r="262" spans="1:11" x14ac:dyDescent="0.25">
      <c r="A262" s="464"/>
      <c r="B262" s="464"/>
      <c r="C262" s="2" t="s">
        <v>5</v>
      </c>
      <c r="D262" s="3" t="s">
        <v>6</v>
      </c>
      <c r="E262" s="2" t="s">
        <v>7</v>
      </c>
      <c r="F262" s="2" t="s">
        <v>5</v>
      </c>
      <c r="G262" s="3" t="s">
        <v>6</v>
      </c>
      <c r="H262" s="2" t="s">
        <v>7</v>
      </c>
      <c r="I262" s="2" t="s">
        <v>5</v>
      </c>
      <c r="J262" s="3" t="s">
        <v>6</v>
      </c>
      <c r="K262" s="2" t="s">
        <v>7</v>
      </c>
    </row>
    <row r="263" spans="1:11" x14ac:dyDescent="0.25">
      <c r="A263" s="1"/>
      <c r="B263" s="1" t="s">
        <v>42</v>
      </c>
      <c r="C263" s="1"/>
      <c r="D263" s="34"/>
      <c r="E263" s="1"/>
      <c r="F263" s="1"/>
      <c r="G263" s="34"/>
      <c r="H263" s="1"/>
      <c r="I263" s="1">
        <v>0</v>
      </c>
      <c r="J263" s="34">
        <v>0</v>
      </c>
      <c r="K263" s="1">
        <v>0</v>
      </c>
    </row>
    <row r="264" spans="1:11" ht="15.75" x14ac:dyDescent="0.25">
      <c r="A264" s="7">
        <v>42009</v>
      </c>
      <c r="B264" s="8" t="s">
        <v>43</v>
      </c>
      <c r="C264" s="6">
        <v>50</v>
      </c>
      <c r="D264" s="27">
        <f>+E264/C264</f>
        <v>1.5</v>
      </c>
      <c r="E264" s="8">
        <v>75</v>
      </c>
      <c r="F264" s="8"/>
      <c r="G264" s="27"/>
      <c r="H264" s="8"/>
      <c r="I264" s="6">
        <f>+I263+C264</f>
        <v>50</v>
      </c>
      <c r="J264" s="27">
        <f>+K264/I264</f>
        <v>1.5</v>
      </c>
      <c r="K264" s="8">
        <f>+K263+E264</f>
        <v>75</v>
      </c>
    </row>
    <row r="265" spans="1:11" ht="30" x14ac:dyDescent="0.25">
      <c r="A265" s="307"/>
      <c r="B265" s="309" t="s">
        <v>581</v>
      </c>
      <c r="C265" s="222"/>
      <c r="D265" s="223"/>
      <c r="E265" s="222"/>
      <c r="F265" s="222">
        <v>1</v>
      </c>
      <c r="G265" s="223">
        <f>+J264</f>
        <v>1.5</v>
      </c>
      <c r="H265" s="222">
        <f>+G265*F265</f>
        <v>1.5</v>
      </c>
      <c r="I265" s="222">
        <f>+I264-F265</f>
        <v>49</v>
      </c>
      <c r="J265" s="223">
        <f>+K265/I265</f>
        <v>1.5</v>
      </c>
      <c r="K265" s="223">
        <f>+K264-H265</f>
        <v>73.5</v>
      </c>
    </row>
    <row r="266" spans="1:11" x14ac:dyDescent="0.25">
      <c r="A266" s="5"/>
      <c r="B266" s="2"/>
      <c r="C266" s="2"/>
      <c r="D266" s="3"/>
      <c r="E266" s="2"/>
      <c r="F266" s="2"/>
      <c r="G266" s="3"/>
      <c r="H266" s="2"/>
      <c r="I266" s="2"/>
      <c r="J266" s="3"/>
      <c r="K266" s="3"/>
    </row>
    <row r="267" spans="1:11" x14ac:dyDescent="0.25">
      <c r="A267" s="5"/>
      <c r="B267" s="2"/>
      <c r="C267" s="2"/>
      <c r="D267" s="3"/>
      <c r="E267" s="2"/>
      <c r="F267" s="2"/>
      <c r="G267" s="3"/>
      <c r="H267" s="3"/>
      <c r="I267" s="2"/>
      <c r="J267" s="3"/>
      <c r="K267" s="3"/>
    </row>
    <row r="272" spans="1:11" ht="15.75" x14ac:dyDescent="0.25">
      <c r="A272" s="456" t="s">
        <v>10</v>
      </c>
      <c r="B272" s="456"/>
      <c r="C272" s="456"/>
      <c r="D272" s="456"/>
      <c r="E272" s="456"/>
      <c r="F272" s="456"/>
      <c r="G272" s="456"/>
      <c r="H272" s="456"/>
      <c r="I272" s="456"/>
      <c r="J272" s="456"/>
      <c r="K272" s="456"/>
    </row>
    <row r="273" spans="1:11" ht="15.75" x14ac:dyDescent="0.25">
      <c r="A273" s="456" t="s">
        <v>11</v>
      </c>
      <c r="B273" s="456"/>
      <c r="C273" s="456"/>
      <c r="D273" s="456"/>
      <c r="E273" s="456"/>
      <c r="F273" s="456"/>
      <c r="G273" s="456"/>
      <c r="H273" s="456"/>
      <c r="I273" s="456"/>
      <c r="J273" s="456"/>
      <c r="K273" s="456"/>
    </row>
    <row r="274" spans="1:11" x14ac:dyDescent="0.25">
      <c r="A274" s="2" t="s">
        <v>8</v>
      </c>
      <c r="B274" s="465" t="s">
        <v>184</v>
      </c>
      <c r="C274" s="466"/>
      <c r="D274" s="466"/>
      <c r="E274" s="467"/>
      <c r="F274" s="10" t="s">
        <v>48</v>
      </c>
      <c r="G274" s="468" t="s">
        <v>49</v>
      </c>
      <c r="H274" s="469"/>
      <c r="I274" s="469"/>
      <c r="J274" s="469"/>
      <c r="K274" s="470"/>
    </row>
    <row r="275" spans="1:11" x14ac:dyDescent="0.25">
      <c r="A275" s="4" t="s">
        <v>9</v>
      </c>
      <c r="B275" s="471" t="s">
        <v>66</v>
      </c>
      <c r="C275" s="471"/>
      <c r="D275" s="471"/>
      <c r="E275" s="471"/>
      <c r="F275" s="11" t="s">
        <v>50</v>
      </c>
      <c r="G275" s="471" t="s">
        <v>67</v>
      </c>
      <c r="H275" s="471"/>
      <c r="I275" s="471"/>
      <c r="J275" s="471"/>
      <c r="K275" s="471"/>
    </row>
    <row r="276" spans="1:11" x14ac:dyDescent="0.25">
      <c r="A276" s="464" t="s">
        <v>0</v>
      </c>
      <c r="B276" s="464" t="s">
        <v>1</v>
      </c>
      <c r="C276" s="464" t="s">
        <v>2</v>
      </c>
      <c r="D276" s="464"/>
      <c r="E276" s="464"/>
      <c r="F276" s="464" t="s">
        <v>3</v>
      </c>
      <c r="G276" s="464"/>
      <c r="H276" s="464"/>
      <c r="I276" s="464" t="s">
        <v>4</v>
      </c>
      <c r="J276" s="464"/>
      <c r="K276" s="464"/>
    </row>
    <row r="277" spans="1:11" x14ac:dyDescent="0.25">
      <c r="A277" s="464"/>
      <c r="B277" s="464"/>
      <c r="C277" s="2" t="s">
        <v>5</v>
      </c>
      <c r="D277" s="3" t="s">
        <v>6</v>
      </c>
      <c r="E277" s="2" t="s">
        <v>7</v>
      </c>
      <c r="F277" s="2" t="s">
        <v>5</v>
      </c>
      <c r="G277" s="3" t="s">
        <v>6</v>
      </c>
      <c r="H277" s="2" t="s">
        <v>7</v>
      </c>
      <c r="I277" s="2" t="s">
        <v>5</v>
      </c>
      <c r="J277" s="3" t="s">
        <v>6</v>
      </c>
      <c r="K277" s="2" t="s">
        <v>7</v>
      </c>
    </row>
    <row r="278" spans="1:11" x14ac:dyDescent="0.25">
      <c r="A278" s="1"/>
      <c r="B278" s="1" t="s">
        <v>42</v>
      </c>
      <c r="C278" s="1"/>
      <c r="D278" s="34"/>
      <c r="E278" s="1"/>
      <c r="F278" s="1"/>
      <c r="G278" s="34"/>
      <c r="H278" s="1"/>
      <c r="I278" s="1">
        <v>0</v>
      </c>
      <c r="J278" s="34">
        <v>0</v>
      </c>
      <c r="K278" s="1">
        <v>0</v>
      </c>
    </row>
    <row r="279" spans="1:11" ht="15.75" x14ac:dyDescent="0.25">
      <c r="A279" s="7">
        <v>42009</v>
      </c>
      <c r="B279" s="8" t="s">
        <v>43</v>
      </c>
      <c r="C279" s="6">
        <v>500</v>
      </c>
      <c r="D279" s="27">
        <f>+E279/C279</f>
        <v>2.512E-2</v>
      </c>
      <c r="E279" s="8">
        <v>12.56</v>
      </c>
      <c r="F279" s="8"/>
      <c r="G279" s="27"/>
      <c r="H279" s="8"/>
      <c r="I279" s="6">
        <f>+I278+C279</f>
        <v>500</v>
      </c>
      <c r="J279" s="27">
        <f>+K279/I279</f>
        <v>2.512E-2</v>
      </c>
      <c r="K279" s="8">
        <f>+K278+E279</f>
        <v>12.56</v>
      </c>
    </row>
    <row r="280" spans="1:11" ht="30" x14ac:dyDescent="0.25">
      <c r="A280" s="307"/>
      <c r="B280" s="309" t="s">
        <v>551</v>
      </c>
      <c r="C280" s="222"/>
      <c r="D280" s="223"/>
      <c r="E280" s="222"/>
      <c r="F280" s="222">
        <v>1</v>
      </c>
      <c r="G280" s="223">
        <f>+J279</f>
        <v>2.512E-2</v>
      </c>
      <c r="H280" s="223">
        <f>+G280*F280</f>
        <v>2.512E-2</v>
      </c>
      <c r="I280" s="222">
        <f>+I279-F280</f>
        <v>499</v>
      </c>
      <c r="J280" s="223">
        <f>+K280/I280</f>
        <v>2.5120000000000003E-2</v>
      </c>
      <c r="K280" s="223">
        <f>+K279-H280</f>
        <v>12.534880000000001</v>
      </c>
    </row>
    <row r="281" spans="1:11" x14ac:dyDescent="0.25">
      <c r="A281" s="5"/>
      <c r="B281" s="2"/>
      <c r="C281" s="2"/>
      <c r="D281" s="3"/>
      <c r="E281" s="2"/>
      <c r="F281" s="2"/>
      <c r="G281" s="3"/>
      <c r="H281" s="2"/>
      <c r="I281" s="2"/>
      <c r="J281" s="3"/>
      <c r="K281" s="3"/>
    </row>
    <row r="282" spans="1:11" x14ac:dyDescent="0.25">
      <c r="A282" s="5"/>
      <c r="B282" s="2"/>
      <c r="C282" s="2"/>
      <c r="D282" s="3"/>
      <c r="E282" s="2"/>
      <c r="F282" s="2"/>
      <c r="G282" s="3"/>
      <c r="H282" s="3"/>
      <c r="I282" s="2"/>
      <c r="J282" s="3"/>
      <c r="K282" s="3"/>
    </row>
    <row r="285" spans="1:11" ht="15.75" x14ac:dyDescent="0.25">
      <c r="A285" s="456" t="s">
        <v>10</v>
      </c>
      <c r="B285" s="456"/>
      <c r="C285" s="456"/>
      <c r="D285" s="456"/>
      <c r="E285" s="456"/>
      <c r="F285" s="456"/>
      <c r="G285" s="456"/>
      <c r="H285" s="456"/>
      <c r="I285" s="456"/>
      <c r="J285" s="456"/>
      <c r="K285" s="456"/>
    </row>
    <row r="286" spans="1:11" ht="15.75" x14ac:dyDescent="0.25">
      <c r="A286" s="456" t="s">
        <v>11</v>
      </c>
      <c r="B286" s="456"/>
      <c r="C286" s="456"/>
      <c r="D286" s="456"/>
      <c r="E286" s="456"/>
      <c r="F286" s="456"/>
      <c r="G286" s="456"/>
      <c r="H286" s="456"/>
      <c r="I286" s="456"/>
      <c r="J286" s="456"/>
      <c r="K286" s="456"/>
    </row>
    <row r="287" spans="1:11" x14ac:dyDescent="0.25">
      <c r="A287" s="2" t="s">
        <v>8</v>
      </c>
      <c r="B287" s="465" t="s">
        <v>185</v>
      </c>
      <c r="C287" s="466"/>
      <c r="D287" s="466"/>
      <c r="E287" s="467"/>
      <c r="F287" s="10" t="s">
        <v>48</v>
      </c>
      <c r="G287" s="468" t="s">
        <v>49</v>
      </c>
      <c r="H287" s="469"/>
      <c r="I287" s="469"/>
      <c r="J287" s="469"/>
      <c r="K287" s="470"/>
    </row>
    <row r="288" spans="1:11" x14ac:dyDescent="0.25">
      <c r="A288" s="4" t="s">
        <v>9</v>
      </c>
      <c r="B288" s="471" t="s">
        <v>66</v>
      </c>
      <c r="C288" s="471"/>
      <c r="D288" s="471"/>
      <c r="E288" s="471"/>
      <c r="F288" s="11" t="s">
        <v>50</v>
      </c>
      <c r="G288" s="471" t="s">
        <v>176</v>
      </c>
      <c r="H288" s="471"/>
      <c r="I288" s="471"/>
      <c r="J288" s="471"/>
      <c r="K288" s="471"/>
    </row>
    <row r="289" spans="1:11" x14ac:dyDescent="0.25">
      <c r="A289" s="464" t="s">
        <v>0</v>
      </c>
      <c r="B289" s="464" t="s">
        <v>1</v>
      </c>
      <c r="C289" s="464" t="s">
        <v>2</v>
      </c>
      <c r="D289" s="464"/>
      <c r="E289" s="464"/>
      <c r="F289" s="464" t="s">
        <v>3</v>
      </c>
      <c r="G289" s="464"/>
      <c r="H289" s="464"/>
      <c r="I289" s="464" t="s">
        <v>4</v>
      </c>
      <c r="J289" s="464"/>
      <c r="K289" s="464"/>
    </row>
    <row r="290" spans="1:11" x14ac:dyDescent="0.25">
      <c r="A290" s="464"/>
      <c r="B290" s="464"/>
      <c r="C290" s="2" t="s">
        <v>5</v>
      </c>
      <c r="D290" s="3" t="s">
        <v>6</v>
      </c>
      <c r="E290" s="2" t="s">
        <v>7</v>
      </c>
      <c r="F290" s="2" t="s">
        <v>5</v>
      </c>
      <c r="G290" s="3" t="s">
        <v>6</v>
      </c>
      <c r="H290" s="2" t="s">
        <v>7</v>
      </c>
      <c r="I290" s="2" t="s">
        <v>5</v>
      </c>
      <c r="J290" s="3" t="s">
        <v>6</v>
      </c>
      <c r="K290" s="2" t="s">
        <v>7</v>
      </c>
    </row>
    <row r="291" spans="1:11" x14ac:dyDescent="0.25">
      <c r="A291" s="1"/>
      <c r="B291" s="1" t="s">
        <v>42</v>
      </c>
      <c r="C291" s="1"/>
      <c r="D291" s="34"/>
      <c r="E291" s="1"/>
      <c r="F291" s="1"/>
      <c r="G291" s="34"/>
      <c r="H291" s="1"/>
      <c r="I291" s="1">
        <v>0</v>
      </c>
      <c r="J291" s="34">
        <v>0</v>
      </c>
      <c r="K291" s="1">
        <v>0</v>
      </c>
    </row>
    <row r="292" spans="1:11" ht="15.75" x14ac:dyDescent="0.25">
      <c r="A292" s="7">
        <v>42009</v>
      </c>
      <c r="B292" s="8" t="s">
        <v>43</v>
      </c>
      <c r="C292" s="6">
        <v>1500</v>
      </c>
      <c r="D292" s="27">
        <f>+E292/C292</f>
        <v>4.4999999999999998E-2</v>
      </c>
      <c r="E292" s="8">
        <v>67.5</v>
      </c>
      <c r="F292" s="8"/>
      <c r="G292" s="27"/>
      <c r="H292" s="8"/>
      <c r="I292" s="6">
        <f>+I291+C292</f>
        <v>1500</v>
      </c>
      <c r="J292" s="27">
        <f>+K292/I292</f>
        <v>4.4999999999999998E-2</v>
      </c>
      <c r="K292" s="8">
        <f>+K291+E292</f>
        <v>67.5</v>
      </c>
    </row>
    <row r="293" spans="1:11" x14ac:dyDescent="0.25">
      <c r="A293" s="122">
        <v>42297</v>
      </c>
      <c r="B293" s="63" t="s">
        <v>362</v>
      </c>
      <c r="C293" s="68"/>
      <c r="D293" s="69"/>
      <c r="E293" s="68"/>
      <c r="F293" s="68">
        <v>3</v>
      </c>
      <c r="G293" s="69">
        <f>+J292</f>
        <v>4.4999999999999998E-2</v>
      </c>
      <c r="H293" s="69">
        <f>+G293*F293</f>
        <v>0.13500000000000001</v>
      </c>
      <c r="I293" s="68">
        <f>+I292-F293</f>
        <v>1497</v>
      </c>
      <c r="J293" s="69">
        <f>+K293/I293</f>
        <v>4.4999999999999998E-2</v>
      </c>
      <c r="K293" s="69">
        <f>+K292-H293</f>
        <v>67.364999999999995</v>
      </c>
    </row>
    <row r="294" spans="1:11" x14ac:dyDescent="0.25">
      <c r="A294" s="122">
        <v>42304</v>
      </c>
      <c r="B294" s="63" t="s">
        <v>389</v>
      </c>
      <c r="C294" s="68"/>
      <c r="D294" s="69"/>
      <c r="E294" s="68"/>
      <c r="F294" s="68">
        <v>3</v>
      </c>
      <c r="G294" s="69">
        <f>+J293</f>
        <v>4.4999999999999998E-2</v>
      </c>
      <c r="H294" s="69">
        <f>+G294*F294</f>
        <v>0.13500000000000001</v>
      </c>
      <c r="I294" s="68">
        <f>+I293-F294</f>
        <v>1494</v>
      </c>
      <c r="J294" s="69">
        <f>+K294/I294</f>
        <v>4.4999999999999991E-2</v>
      </c>
      <c r="K294" s="69">
        <f>+K293-H294</f>
        <v>67.22999999999999</v>
      </c>
    </row>
    <row r="295" spans="1:11" x14ac:dyDescent="0.25">
      <c r="A295" s="5"/>
      <c r="B295" s="2"/>
      <c r="C295" s="2"/>
      <c r="D295" s="3"/>
      <c r="E295" s="2"/>
      <c r="F295" s="2"/>
      <c r="G295" s="3"/>
      <c r="H295" s="3"/>
      <c r="I295" s="2"/>
      <c r="J295" s="3"/>
      <c r="K295" s="3"/>
    </row>
    <row r="299" spans="1:11" ht="15.75" x14ac:dyDescent="0.25">
      <c r="A299" s="456" t="s">
        <v>10</v>
      </c>
      <c r="B299" s="456"/>
      <c r="C299" s="456"/>
      <c r="D299" s="456"/>
      <c r="E299" s="456"/>
      <c r="F299" s="456"/>
      <c r="G299" s="456"/>
      <c r="H299" s="456"/>
      <c r="I299" s="456"/>
      <c r="J299" s="456"/>
      <c r="K299" s="456"/>
    </row>
    <row r="300" spans="1:11" ht="15.75" x14ac:dyDescent="0.25">
      <c r="A300" s="456" t="s">
        <v>11</v>
      </c>
      <c r="B300" s="456"/>
      <c r="C300" s="456"/>
      <c r="D300" s="456"/>
      <c r="E300" s="456"/>
      <c r="F300" s="456"/>
      <c r="G300" s="456"/>
      <c r="H300" s="456"/>
      <c r="I300" s="456"/>
      <c r="J300" s="456"/>
      <c r="K300" s="456"/>
    </row>
    <row r="301" spans="1:11" x14ac:dyDescent="0.25">
      <c r="A301" s="2" t="s">
        <v>8</v>
      </c>
      <c r="B301" s="465" t="s">
        <v>186</v>
      </c>
      <c r="C301" s="466"/>
      <c r="D301" s="466"/>
      <c r="E301" s="467"/>
      <c r="F301" s="10" t="s">
        <v>48</v>
      </c>
      <c r="G301" s="468" t="s">
        <v>49</v>
      </c>
      <c r="H301" s="469"/>
      <c r="I301" s="469"/>
      <c r="J301" s="469"/>
      <c r="K301" s="470"/>
    </row>
    <row r="302" spans="1:11" x14ac:dyDescent="0.25">
      <c r="A302" s="4" t="s">
        <v>9</v>
      </c>
      <c r="B302" s="471" t="s">
        <v>66</v>
      </c>
      <c r="C302" s="471"/>
      <c r="D302" s="471"/>
      <c r="E302" s="471"/>
      <c r="F302" s="11" t="s">
        <v>50</v>
      </c>
      <c r="G302" s="471" t="s">
        <v>187</v>
      </c>
      <c r="H302" s="471"/>
      <c r="I302" s="471"/>
      <c r="J302" s="471"/>
      <c r="K302" s="471"/>
    </row>
    <row r="303" spans="1:11" x14ac:dyDescent="0.25">
      <c r="A303" s="464" t="s">
        <v>0</v>
      </c>
      <c r="B303" s="464" t="s">
        <v>1</v>
      </c>
      <c r="C303" s="464" t="s">
        <v>2</v>
      </c>
      <c r="D303" s="464"/>
      <c r="E303" s="464"/>
      <c r="F303" s="464" t="s">
        <v>3</v>
      </c>
      <c r="G303" s="464"/>
      <c r="H303" s="464"/>
      <c r="I303" s="464" t="s">
        <v>4</v>
      </c>
      <c r="J303" s="464"/>
      <c r="K303" s="464"/>
    </row>
    <row r="304" spans="1:11" x14ac:dyDescent="0.25">
      <c r="A304" s="464"/>
      <c r="B304" s="464"/>
      <c r="C304" s="2" t="s">
        <v>5</v>
      </c>
      <c r="D304" s="3" t="s">
        <v>6</v>
      </c>
      <c r="E304" s="2" t="s">
        <v>7</v>
      </c>
      <c r="F304" s="2" t="s">
        <v>5</v>
      </c>
      <c r="G304" s="3" t="s">
        <v>6</v>
      </c>
      <c r="H304" s="2" t="s">
        <v>7</v>
      </c>
      <c r="I304" s="2" t="s">
        <v>5</v>
      </c>
      <c r="J304" s="3" t="s">
        <v>6</v>
      </c>
      <c r="K304" s="2" t="s">
        <v>7</v>
      </c>
    </row>
    <row r="305" spans="1:11" x14ac:dyDescent="0.25">
      <c r="A305" s="1"/>
      <c r="B305" s="1" t="s">
        <v>42</v>
      </c>
      <c r="C305" s="1"/>
      <c r="D305" s="34"/>
      <c r="E305" s="1"/>
      <c r="F305" s="1"/>
      <c r="G305" s="34"/>
      <c r="H305" s="1"/>
      <c r="I305" s="1">
        <v>0</v>
      </c>
      <c r="J305" s="34">
        <v>0</v>
      </c>
      <c r="K305" s="1">
        <v>0</v>
      </c>
    </row>
    <row r="306" spans="1:11" ht="15.75" x14ac:dyDescent="0.25">
      <c r="A306" s="7">
        <v>42009</v>
      </c>
      <c r="B306" s="8" t="s">
        <v>43</v>
      </c>
      <c r="C306" s="6">
        <v>300</v>
      </c>
      <c r="D306" s="27">
        <f>+E306/C306</f>
        <v>0.16950000000000001</v>
      </c>
      <c r="E306" s="8">
        <v>50.85</v>
      </c>
      <c r="F306" s="8"/>
      <c r="G306" s="27"/>
      <c r="H306" s="8"/>
      <c r="I306" s="6">
        <f>+I305+C306</f>
        <v>300</v>
      </c>
      <c r="J306" s="27">
        <f>+K306/I306</f>
        <v>0.16950000000000001</v>
      </c>
      <c r="K306" s="8">
        <f>+K305+E306</f>
        <v>50.85</v>
      </c>
    </row>
    <row r="307" spans="1:11" ht="30" x14ac:dyDescent="0.25">
      <c r="A307" s="307"/>
      <c r="B307" s="309" t="s">
        <v>546</v>
      </c>
      <c r="C307" s="222"/>
      <c r="D307" s="223"/>
      <c r="E307" s="222"/>
      <c r="F307" s="222">
        <v>3</v>
      </c>
      <c r="G307" s="223">
        <f>+J306</f>
        <v>0.16950000000000001</v>
      </c>
      <c r="H307" s="223">
        <f>+G307*F307</f>
        <v>0.50850000000000006</v>
      </c>
      <c r="I307" s="222">
        <f>+I306-F307</f>
        <v>297</v>
      </c>
      <c r="J307" s="342">
        <f>+K307/I307</f>
        <v>0.16950000000000001</v>
      </c>
      <c r="K307" s="223">
        <f>+K306-H307</f>
        <v>50.341500000000003</v>
      </c>
    </row>
    <row r="308" spans="1:11" x14ac:dyDescent="0.25">
      <c r="A308" s="5"/>
      <c r="B308" s="2"/>
      <c r="C308" s="2"/>
      <c r="D308" s="3"/>
      <c r="E308" s="2"/>
      <c r="F308" s="2"/>
      <c r="G308" s="3"/>
      <c r="H308" s="2"/>
      <c r="I308" s="2"/>
      <c r="J308" s="3"/>
      <c r="K308" s="3"/>
    </row>
    <row r="309" spans="1:11" x14ac:dyDescent="0.25">
      <c r="A309" s="5"/>
      <c r="B309" s="2"/>
      <c r="C309" s="2"/>
      <c r="D309" s="3"/>
      <c r="E309" s="2"/>
      <c r="F309" s="2"/>
      <c r="G309" s="3"/>
      <c r="H309" s="3"/>
      <c r="I309" s="2"/>
      <c r="J309" s="3"/>
      <c r="K309" s="3"/>
    </row>
    <row r="313" spans="1:11" ht="15.75" x14ac:dyDescent="0.25">
      <c r="A313" s="456" t="s">
        <v>10</v>
      </c>
      <c r="B313" s="456"/>
      <c r="C313" s="456"/>
      <c r="D313" s="456"/>
      <c r="E313" s="456"/>
      <c r="F313" s="456"/>
      <c r="G313" s="456"/>
      <c r="H313" s="456"/>
      <c r="I313" s="456"/>
      <c r="J313" s="456"/>
      <c r="K313" s="456"/>
    </row>
    <row r="314" spans="1:11" ht="15.75" x14ac:dyDescent="0.25">
      <c r="A314" s="456" t="s">
        <v>11</v>
      </c>
      <c r="B314" s="456"/>
      <c r="C314" s="456"/>
      <c r="D314" s="456"/>
      <c r="E314" s="456"/>
      <c r="F314" s="456"/>
      <c r="G314" s="456"/>
      <c r="H314" s="456"/>
      <c r="I314" s="456"/>
      <c r="J314" s="456"/>
      <c r="K314" s="456"/>
    </row>
    <row r="315" spans="1:11" x14ac:dyDescent="0.25">
      <c r="A315" s="2" t="s">
        <v>8</v>
      </c>
      <c r="B315" s="465" t="s">
        <v>188</v>
      </c>
      <c r="C315" s="466"/>
      <c r="D315" s="466"/>
      <c r="E315" s="467"/>
      <c r="F315" s="10" t="s">
        <v>48</v>
      </c>
      <c r="G315" s="468" t="s">
        <v>49</v>
      </c>
      <c r="H315" s="469"/>
      <c r="I315" s="469"/>
      <c r="J315" s="469"/>
      <c r="K315" s="470"/>
    </row>
    <row r="316" spans="1:11" x14ac:dyDescent="0.25">
      <c r="A316" s="4" t="s">
        <v>9</v>
      </c>
      <c r="B316" s="471" t="s">
        <v>66</v>
      </c>
      <c r="C316" s="471"/>
      <c r="D316" s="471"/>
      <c r="E316" s="471"/>
      <c r="F316" s="11" t="s">
        <v>50</v>
      </c>
      <c r="G316" s="471" t="s">
        <v>187</v>
      </c>
      <c r="H316" s="471"/>
      <c r="I316" s="471"/>
      <c r="J316" s="471"/>
      <c r="K316" s="471"/>
    </row>
    <row r="317" spans="1:11" x14ac:dyDescent="0.25">
      <c r="A317" s="464" t="s">
        <v>0</v>
      </c>
      <c r="B317" s="464" t="s">
        <v>1</v>
      </c>
      <c r="C317" s="464" t="s">
        <v>2</v>
      </c>
      <c r="D317" s="464"/>
      <c r="E317" s="464"/>
      <c r="F317" s="464" t="s">
        <v>3</v>
      </c>
      <c r="G317" s="464"/>
      <c r="H317" s="464"/>
      <c r="I317" s="464" t="s">
        <v>4</v>
      </c>
      <c r="J317" s="464"/>
      <c r="K317" s="464"/>
    </row>
    <row r="318" spans="1:11" x14ac:dyDescent="0.25">
      <c r="A318" s="464"/>
      <c r="B318" s="464"/>
      <c r="C318" s="2" t="s">
        <v>5</v>
      </c>
      <c r="D318" s="3" t="s">
        <v>6</v>
      </c>
      <c r="E318" s="2" t="s">
        <v>7</v>
      </c>
      <c r="F318" s="2" t="s">
        <v>5</v>
      </c>
      <c r="G318" s="3" t="s">
        <v>6</v>
      </c>
      <c r="H318" s="2" t="s">
        <v>7</v>
      </c>
      <c r="I318" s="2" t="s">
        <v>5</v>
      </c>
      <c r="J318" s="3" t="s">
        <v>6</v>
      </c>
      <c r="K318" s="2" t="s">
        <v>7</v>
      </c>
    </row>
    <row r="319" spans="1:11" x14ac:dyDescent="0.25">
      <c r="A319" s="1"/>
      <c r="B319" s="1" t="s">
        <v>42</v>
      </c>
      <c r="C319" s="1"/>
      <c r="D319" s="34"/>
      <c r="E319" s="1"/>
      <c r="F319" s="1"/>
      <c r="G319" s="34"/>
      <c r="H319" s="1"/>
      <c r="I319" s="1">
        <v>0</v>
      </c>
      <c r="J319" s="34">
        <v>0</v>
      </c>
      <c r="K319" s="1">
        <v>0</v>
      </c>
    </row>
    <row r="320" spans="1:11" ht="15.75" x14ac:dyDescent="0.25">
      <c r="A320" s="7">
        <v>42009</v>
      </c>
      <c r="B320" s="8" t="s">
        <v>43</v>
      </c>
      <c r="C320" s="6">
        <v>500</v>
      </c>
      <c r="D320" s="27">
        <f>+E320/C320</f>
        <v>0.16950000000000001</v>
      </c>
      <c r="E320" s="8">
        <v>84.75</v>
      </c>
      <c r="F320" s="8"/>
      <c r="G320" s="27"/>
      <c r="H320" s="8"/>
      <c r="I320" s="6">
        <f>+I319+C320</f>
        <v>500</v>
      </c>
      <c r="J320" s="27">
        <f>+K320/I320</f>
        <v>0.16950000000000001</v>
      </c>
      <c r="K320" s="8">
        <f>+K319+E320</f>
        <v>84.75</v>
      </c>
    </row>
    <row r="321" spans="1:11" ht="30" x14ac:dyDescent="0.25">
      <c r="A321" s="307"/>
      <c r="B321" s="309" t="s">
        <v>549</v>
      </c>
      <c r="C321" s="222"/>
      <c r="D321" s="223"/>
      <c r="E321" s="222"/>
      <c r="F321" s="222">
        <v>0.5</v>
      </c>
      <c r="G321" s="223">
        <f>+J320</f>
        <v>0.16950000000000001</v>
      </c>
      <c r="H321" s="222">
        <f>+G321*F321</f>
        <v>8.4750000000000006E-2</v>
      </c>
      <c r="I321" s="222">
        <f>+I320-F321</f>
        <v>499.5</v>
      </c>
      <c r="J321" s="223">
        <f>+K321/I321</f>
        <v>0.16950000000000001</v>
      </c>
      <c r="K321" s="223">
        <f>+K320-H321</f>
        <v>84.66525</v>
      </c>
    </row>
    <row r="322" spans="1:11" x14ac:dyDescent="0.25">
      <c r="A322" s="5"/>
      <c r="B322" s="2"/>
      <c r="C322" s="2"/>
      <c r="D322" s="3"/>
      <c r="E322" s="2"/>
      <c r="F322" s="2"/>
      <c r="G322" s="3"/>
      <c r="H322" s="2"/>
      <c r="I322" s="2"/>
      <c r="J322" s="3"/>
      <c r="K322" s="3"/>
    </row>
    <row r="323" spans="1:11" x14ac:dyDescent="0.25">
      <c r="A323" s="5"/>
      <c r="B323" s="2"/>
      <c r="C323" s="2"/>
      <c r="D323" s="3"/>
      <c r="E323" s="2"/>
      <c r="F323" s="2"/>
      <c r="G323" s="3"/>
      <c r="H323" s="3"/>
      <c r="I323" s="2"/>
      <c r="J323" s="3"/>
      <c r="K323" s="3"/>
    </row>
    <row r="326" spans="1:11" ht="15.75" x14ac:dyDescent="0.25">
      <c r="A326" s="456" t="s">
        <v>10</v>
      </c>
      <c r="B326" s="456"/>
      <c r="C326" s="456"/>
      <c r="D326" s="456"/>
      <c r="E326" s="456"/>
      <c r="F326" s="456"/>
      <c r="G326" s="456"/>
      <c r="H326" s="456"/>
      <c r="I326" s="456"/>
      <c r="J326" s="456"/>
      <c r="K326" s="456"/>
    </row>
    <row r="327" spans="1:11" ht="15.75" x14ac:dyDescent="0.25">
      <c r="A327" s="456" t="s">
        <v>11</v>
      </c>
      <c r="B327" s="456"/>
      <c r="C327" s="456"/>
      <c r="D327" s="456"/>
      <c r="E327" s="456"/>
      <c r="F327" s="456"/>
      <c r="G327" s="456"/>
      <c r="H327" s="456"/>
      <c r="I327" s="456"/>
      <c r="J327" s="456"/>
      <c r="K327" s="456"/>
    </row>
    <row r="328" spans="1:11" x14ac:dyDescent="0.25">
      <c r="A328" s="2" t="s">
        <v>8</v>
      </c>
      <c r="B328" s="465" t="s">
        <v>189</v>
      </c>
      <c r="C328" s="466"/>
      <c r="D328" s="466"/>
      <c r="E328" s="467"/>
      <c r="F328" s="10" t="s">
        <v>48</v>
      </c>
      <c r="G328" s="468" t="s">
        <v>49</v>
      </c>
      <c r="H328" s="469"/>
      <c r="I328" s="469"/>
      <c r="J328" s="469"/>
      <c r="K328" s="470"/>
    </row>
    <row r="329" spans="1:11" x14ac:dyDescent="0.25">
      <c r="A329" s="4" t="s">
        <v>9</v>
      </c>
      <c r="B329" s="471" t="s">
        <v>66</v>
      </c>
      <c r="C329" s="471"/>
      <c r="D329" s="471"/>
      <c r="E329" s="471"/>
      <c r="F329" s="11" t="s">
        <v>50</v>
      </c>
      <c r="G329" s="471" t="s">
        <v>176</v>
      </c>
      <c r="H329" s="471"/>
      <c r="I329" s="471"/>
      <c r="J329" s="471"/>
      <c r="K329" s="471"/>
    </row>
    <row r="330" spans="1:11" x14ac:dyDescent="0.25">
      <c r="A330" s="464" t="s">
        <v>0</v>
      </c>
      <c r="B330" s="464" t="s">
        <v>1</v>
      </c>
      <c r="C330" s="464" t="s">
        <v>2</v>
      </c>
      <c r="D330" s="464"/>
      <c r="E330" s="464"/>
      <c r="F330" s="464" t="s">
        <v>3</v>
      </c>
      <c r="G330" s="464"/>
      <c r="H330" s="464"/>
      <c r="I330" s="464" t="s">
        <v>4</v>
      </c>
      <c r="J330" s="464"/>
      <c r="K330" s="464"/>
    </row>
    <row r="331" spans="1:11" x14ac:dyDescent="0.25">
      <c r="A331" s="464"/>
      <c r="B331" s="464"/>
      <c r="C331" s="2" t="s">
        <v>5</v>
      </c>
      <c r="D331" s="3" t="s">
        <v>6</v>
      </c>
      <c r="E331" s="2" t="s">
        <v>7</v>
      </c>
      <c r="F331" s="2" t="s">
        <v>5</v>
      </c>
      <c r="G331" s="3" t="s">
        <v>6</v>
      </c>
      <c r="H331" s="2" t="s">
        <v>7</v>
      </c>
      <c r="I331" s="2" t="s">
        <v>5</v>
      </c>
      <c r="J331" s="3" t="s">
        <v>6</v>
      </c>
      <c r="K331" s="2" t="s">
        <v>7</v>
      </c>
    </row>
    <row r="332" spans="1:11" x14ac:dyDescent="0.25">
      <c r="A332" s="1"/>
      <c r="B332" s="1" t="s">
        <v>42</v>
      </c>
      <c r="C332" s="1"/>
      <c r="D332" s="34"/>
      <c r="E332" s="1"/>
      <c r="F332" s="1"/>
      <c r="G332" s="34"/>
      <c r="H332" s="1"/>
      <c r="I332" s="1">
        <v>0</v>
      </c>
      <c r="J332" s="34">
        <v>0</v>
      </c>
      <c r="K332" s="1">
        <v>0</v>
      </c>
    </row>
    <row r="333" spans="1:11" ht="15.75" x14ac:dyDescent="0.25">
      <c r="A333" s="7">
        <v>42009</v>
      </c>
      <c r="B333" s="8" t="s">
        <v>43</v>
      </c>
      <c r="C333" s="6">
        <v>1000</v>
      </c>
      <c r="D333" s="27">
        <f>+E333/C333</f>
        <v>3.4459999999999998E-2</v>
      </c>
      <c r="E333" s="8">
        <v>34.46</v>
      </c>
      <c r="F333" s="8"/>
      <c r="G333" s="27"/>
      <c r="H333" s="8"/>
      <c r="I333" s="6">
        <f>+I332+C333</f>
        <v>1000</v>
      </c>
      <c r="J333" s="27">
        <f>+K333/I333</f>
        <v>3.4459999999999998E-2</v>
      </c>
      <c r="K333" s="8">
        <f>+K332+E333</f>
        <v>34.46</v>
      </c>
    </row>
    <row r="334" spans="1:11" ht="30" x14ac:dyDescent="0.25">
      <c r="A334" s="307"/>
      <c r="B334" s="309" t="s">
        <v>607</v>
      </c>
      <c r="C334" s="222"/>
      <c r="D334" s="223"/>
      <c r="E334" s="222"/>
      <c r="F334" s="222">
        <v>3</v>
      </c>
      <c r="G334" s="223">
        <f>+J333</f>
        <v>3.4459999999999998E-2</v>
      </c>
      <c r="H334" s="223">
        <f>+G334*F334</f>
        <v>0.10338</v>
      </c>
      <c r="I334" s="222">
        <f>+I333-F334</f>
        <v>997</v>
      </c>
      <c r="J334" s="223">
        <f>+K334/I334</f>
        <v>3.4459999999999998E-2</v>
      </c>
      <c r="K334" s="223">
        <f>+K333-H334</f>
        <v>34.356619999999999</v>
      </c>
    </row>
    <row r="335" spans="1:11" x14ac:dyDescent="0.25">
      <c r="A335" s="5"/>
      <c r="B335" s="2"/>
      <c r="C335" s="2"/>
      <c r="D335" s="3"/>
      <c r="E335" s="2"/>
      <c r="F335" s="2"/>
      <c r="G335" s="3"/>
      <c r="H335" s="2"/>
      <c r="I335" s="2"/>
      <c r="J335" s="3"/>
      <c r="K335" s="3"/>
    </row>
    <row r="336" spans="1:11" x14ac:dyDescent="0.25">
      <c r="A336" s="5"/>
      <c r="B336" s="2"/>
      <c r="C336" s="2"/>
      <c r="D336" s="3"/>
      <c r="E336" s="2"/>
      <c r="F336" s="2"/>
      <c r="G336" s="3"/>
      <c r="H336" s="3"/>
      <c r="I336" s="2"/>
      <c r="J336" s="3"/>
      <c r="K336" s="3"/>
    </row>
    <row r="340" spans="1:11" ht="15.75" x14ac:dyDescent="0.25">
      <c r="A340" s="456" t="s">
        <v>10</v>
      </c>
      <c r="B340" s="456"/>
      <c r="C340" s="456"/>
      <c r="D340" s="456"/>
      <c r="E340" s="456"/>
      <c r="F340" s="456"/>
      <c r="G340" s="456"/>
      <c r="H340" s="456"/>
      <c r="I340" s="456"/>
      <c r="J340" s="456"/>
      <c r="K340" s="456"/>
    </row>
    <row r="341" spans="1:11" ht="15.75" x14ac:dyDescent="0.25">
      <c r="A341" s="456" t="s">
        <v>11</v>
      </c>
      <c r="B341" s="456"/>
      <c r="C341" s="456"/>
      <c r="D341" s="456"/>
      <c r="E341" s="456"/>
      <c r="F341" s="456"/>
      <c r="G341" s="456"/>
      <c r="H341" s="456"/>
      <c r="I341" s="456"/>
      <c r="J341" s="456"/>
      <c r="K341" s="456"/>
    </row>
    <row r="342" spans="1:11" x14ac:dyDescent="0.25">
      <c r="A342" s="2" t="s">
        <v>8</v>
      </c>
      <c r="B342" s="465" t="s">
        <v>190</v>
      </c>
      <c r="C342" s="466"/>
      <c r="D342" s="466"/>
      <c r="E342" s="467"/>
      <c r="F342" s="10" t="s">
        <v>48</v>
      </c>
      <c r="G342" s="468" t="s">
        <v>49</v>
      </c>
      <c r="H342" s="469"/>
      <c r="I342" s="469"/>
      <c r="J342" s="469"/>
      <c r="K342" s="470"/>
    </row>
    <row r="343" spans="1:11" x14ac:dyDescent="0.25">
      <c r="A343" s="4" t="s">
        <v>9</v>
      </c>
      <c r="B343" s="471" t="s">
        <v>66</v>
      </c>
      <c r="C343" s="471"/>
      <c r="D343" s="471"/>
      <c r="E343" s="471"/>
      <c r="F343" s="11" t="s">
        <v>50</v>
      </c>
      <c r="G343" s="471" t="s">
        <v>179</v>
      </c>
      <c r="H343" s="471"/>
      <c r="I343" s="471"/>
      <c r="J343" s="471"/>
      <c r="K343" s="471"/>
    </row>
    <row r="344" spans="1:11" x14ac:dyDescent="0.25">
      <c r="A344" s="464" t="s">
        <v>0</v>
      </c>
      <c r="B344" s="464" t="s">
        <v>1</v>
      </c>
      <c r="C344" s="464" t="s">
        <v>2</v>
      </c>
      <c r="D344" s="464"/>
      <c r="E344" s="464"/>
      <c r="F344" s="464" t="s">
        <v>3</v>
      </c>
      <c r="G344" s="464"/>
      <c r="H344" s="464"/>
      <c r="I344" s="464" t="s">
        <v>4</v>
      </c>
      <c r="J344" s="464"/>
      <c r="K344" s="464"/>
    </row>
    <row r="345" spans="1:11" x14ac:dyDescent="0.25">
      <c r="A345" s="464"/>
      <c r="B345" s="464"/>
      <c r="C345" s="2" t="s">
        <v>5</v>
      </c>
      <c r="D345" s="3" t="s">
        <v>6</v>
      </c>
      <c r="E345" s="2" t="s">
        <v>7</v>
      </c>
      <c r="F345" s="2" t="s">
        <v>5</v>
      </c>
      <c r="G345" s="3" t="s">
        <v>6</v>
      </c>
      <c r="H345" s="2" t="s">
        <v>7</v>
      </c>
      <c r="I345" s="2" t="s">
        <v>5</v>
      </c>
      <c r="J345" s="3" t="s">
        <v>6</v>
      </c>
      <c r="K345" s="2" t="s">
        <v>7</v>
      </c>
    </row>
    <row r="346" spans="1:11" x14ac:dyDescent="0.25">
      <c r="A346" s="1"/>
      <c r="B346" s="1" t="s">
        <v>42</v>
      </c>
      <c r="C346" s="1"/>
      <c r="D346" s="34"/>
      <c r="E346" s="1"/>
      <c r="F346" s="1"/>
      <c r="G346" s="34"/>
      <c r="H346" s="1"/>
      <c r="I346" s="1">
        <v>0</v>
      </c>
      <c r="J346" s="34">
        <v>0</v>
      </c>
      <c r="K346" s="1">
        <v>0</v>
      </c>
    </row>
    <row r="347" spans="1:11" ht="15.75" x14ac:dyDescent="0.25">
      <c r="A347" s="7">
        <v>42009</v>
      </c>
      <c r="B347" s="8" t="s">
        <v>43</v>
      </c>
      <c r="C347" s="6">
        <v>100</v>
      </c>
      <c r="D347" s="27">
        <f>+E347/C347</f>
        <v>0.31280000000000002</v>
      </c>
      <c r="E347" s="8">
        <v>31.28</v>
      </c>
      <c r="F347" s="8"/>
      <c r="G347" s="27"/>
      <c r="H347" s="8"/>
      <c r="I347" s="6">
        <f>+I346+C347</f>
        <v>100</v>
      </c>
      <c r="J347" s="27">
        <f>+K347/I347</f>
        <v>0.31280000000000002</v>
      </c>
      <c r="K347" s="8">
        <f>+K346+E347</f>
        <v>31.28</v>
      </c>
    </row>
    <row r="348" spans="1:11" ht="30" x14ac:dyDescent="0.25">
      <c r="A348" s="307"/>
      <c r="B348" s="309" t="s">
        <v>574</v>
      </c>
      <c r="C348" s="222"/>
      <c r="D348" s="223"/>
      <c r="E348" s="222"/>
      <c r="F348" s="222">
        <v>3</v>
      </c>
      <c r="G348" s="223">
        <f>+J347</f>
        <v>0.31280000000000002</v>
      </c>
      <c r="H348" s="223">
        <f>+G348*F348</f>
        <v>0.93840000000000012</v>
      </c>
      <c r="I348" s="222">
        <f>+I347-F348</f>
        <v>97</v>
      </c>
      <c r="J348" s="223">
        <f>+K348/I348</f>
        <v>0.31280000000000002</v>
      </c>
      <c r="K348" s="223">
        <f>+K347-H348</f>
        <v>30.3416</v>
      </c>
    </row>
    <row r="349" spans="1:11" x14ac:dyDescent="0.25">
      <c r="A349" s="5"/>
      <c r="B349" s="2"/>
      <c r="C349" s="2"/>
      <c r="D349" s="3"/>
      <c r="E349" s="2"/>
      <c r="F349" s="2"/>
      <c r="G349" s="3"/>
      <c r="H349" s="2"/>
      <c r="I349" s="2"/>
      <c r="J349" s="3"/>
      <c r="K349" s="3"/>
    </row>
    <row r="350" spans="1:11" x14ac:dyDescent="0.25">
      <c r="A350" s="5"/>
      <c r="B350" s="2"/>
      <c r="C350" s="2"/>
      <c r="D350" s="3"/>
      <c r="E350" s="2"/>
      <c r="F350" s="2"/>
      <c r="G350" s="3"/>
      <c r="H350" s="3"/>
      <c r="I350" s="2"/>
      <c r="J350" s="3"/>
      <c r="K350" s="3"/>
    </row>
    <row r="353" spans="1:11" ht="15.75" x14ac:dyDescent="0.25">
      <c r="A353" s="456" t="s">
        <v>10</v>
      </c>
      <c r="B353" s="456"/>
      <c r="C353" s="456"/>
      <c r="D353" s="456"/>
      <c r="E353" s="456"/>
      <c r="F353" s="456"/>
      <c r="G353" s="456"/>
      <c r="H353" s="456"/>
      <c r="I353" s="456"/>
      <c r="J353" s="456"/>
      <c r="K353" s="456"/>
    </row>
    <row r="354" spans="1:11" ht="15.75" x14ac:dyDescent="0.25">
      <c r="A354" s="456" t="s">
        <v>11</v>
      </c>
      <c r="B354" s="456"/>
      <c r="C354" s="456"/>
      <c r="D354" s="456"/>
      <c r="E354" s="456"/>
      <c r="F354" s="456"/>
      <c r="G354" s="456"/>
      <c r="H354" s="456"/>
      <c r="I354" s="456"/>
      <c r="J354" s="456"/>
      <c r="K354" s="456"/>
    </row>
    <row r="355" spans="1:11" x14ac:dyDescent="0.25">
      <c r="A355" s="2" t="s">
        <v>8</v>
      </c>
      <c r="B355" s="465" t="s">
        <v>191</v>
      </c>
      <c r="C355" s="466"/>
      <c r="D355" s="466"/>
      <c r="E355" s="467"/>
      <c r="F355" s="10" t="s">
        <v>48</v>
      </c>
      <c r="G355" s="468" t="s">
        <v>49</v>
      </c>
      <c r="H355" s="469"/>
      <c r="I355" s="469"/>
      <c r="J355" s="469"/>
      <c r="K355" s="470"/>
    </row>
    <row r="356" spans="1:11" x14ac:dyDescent="0.25">
      <c r="A356" s="4" t="s">
        <v>9</v>
      </c>
      <c r="B356" s="471" t="s">
        <v>66</v>
      </c>
      <c r="C356" s="471"/>
      <c r="D356" s="471"/>
      <c r="E356" s="471"/>
      <c r="F356" s="11" t="s">
        <v>50</v>
      </c>
      <c r="G356" s="471" t="s">
        <v>179</v>
      </c>
      <c r="H356" s="471"/>
      <c r="I356" s="471"/>
      <c r="J356" s="471"/>
      <c r="K356" s="471"/>
    </row>
    <row r="357" spans="1:11" x14ac:dyDescent="0.25">
      <c r="A357" s="464" t="s">
        <v>0</v>
      </c>
      <c r="B357" s="464" t="s">
        <v>1</v>
      </c>
      <c r="C357" s="464" t="s">
        <v>2</v>
      </c>
      <c r="D357" s="464"/>
      <c r="E357" s="464"/>
      <c r="F357" s="464" t="s">
        <v>3</v>
      </c>
      <c r="G357" s="464"/>
      <c r="H357" s="464"/>
      <c r="I357" s="464" t="s">
        <v>4</v>
      </c>
      <c r="J357" s="464"/>
      <c r="K357" s="464"/>
    </row>
    <row r="358" spans="1:11" x14ac:dyDescent="0.25">
      <c r="A358" s="464"/>
      <c r="B358" s="464"/>
      <c r="C358" s="2" t="s">
        <v>5</v>
      </c>
      <c r="D358" s="3" t="s">
        <v>6</v>
      </c>
      <c r="E358" s="2" t="s">
        <v>7</v>
      </c>
      <c r="F358" s="2" t="s">
        <v>5</v>
      </c>
      <c r="G358" s="3" t="s">
        <v>6</v>
      </c>
      <c r="H358" s="2" t="s">
        <v>7</v>
      </c>
      <c r="I358" s="2" t="s">
        <v>5</v>
      </c>
      <c r="J358" s="3" t="s">
        <v>6</v>
      </c>
      <c r="K358" s="2" t="s">
        <v>7</v>
      </c>
    </row>
    <row r="359" spans="1:11" x14ac:dyDescent="0.25">
      <c r="A359" s="1"/>
      <c r="B359" s="1" t="s">
        <v>42</v>
      </c>
      <c r="C359" s="1"/>
      <c r="D359" s="34"/>
      <c r="E359" s="1"/>
      <c r="F359" s="1"/>
      <c r="G359" s="34"/>
      <c r="H359" s="1"/>
      <c r="I359" s="1">
        <v>0</v>
      </c>
      <c r="J359" s="34">
        <v>0</v>
      </c>
      <c r="K359" s="1">
        <v>0</v>
      </c>
    </row>
    <row r="360" spans="1:11" ht="15.75" x14ac:dyDescent="0.25">
      <c r="A360" s="7">
        <v>42009</v>
      </c>
      <c r="B360" s="8" t="s">
        <v>43</v>
      </c>
      <c r="C360" s="6">
        <v>100</v>
      </c>
      <c r="D360" s="27">
        <f>+E360/C360</f>
        <v>0.31280000000000002</v>
      </c>
      <c r="E360" s="8">
        <v>31.28</v>
      </c>
      <c r="F360" s="8"/>
      <c r="G360" s="27"/>
      <c r="H360" s="8"/>
      <c r="I360" s="6">
        <f>+I359+C360</f>
        <v>100</v>
      </c>
      <c r="J360" s="27">
        <f>+K360/I360</f>
        <v>0.31280000000000002</v>
      </c>
      <c r="K360" s="8">
        <f>+K359+E360</f>
        <v>31.28</v>
      </c>
    </row>
    <row r="361" spans="1:11" ht="30" x14ac:dyDescent="0.25">
      <c r="A361" s="307"/>
      <c r="B361" s="309" t="s">
        <v>578</v>
      </c>
      <c r="C361" s="222"/>
      <c r="D361" s="223"/>
      <c r="E361" s="222"/>
      <c r="F361" s="222">
        <v>3</v>
      </c>
      <c r="G361" s="223">
        <f>+J360</f>
        <v>0.31280000000000002</v>
      </c>
      <c r="H361" s="222">
        <f>+G361*F361</f>
        <v>0.93840000000000012</v>
      </c>
      <c r="I361" s="222">
        <f>+I360-F361</f>
        <v>97</v>
      </c>
      <c r="J361" s="223">
        <f>+K361/I361</f>
        <v>0.31280000000000002</v>
      </c>
      <c r="K361" s="223">
        <f>+K360-H361</f>
        <v>30.3416</v>
      </c>
    </row>
    <row r="362" spans="1:11" x14ac:dyDescent="0.25">
      <c r="A362" s="5"/>
      <c r="B362" s="2"/>
      <c r="C362" s="2"/>
      <c r="D362" s="3"/>
      <c r="E362" s="2"/>
      <c r="F362" s="2"/>
      <c r="G362" s="3"/>
      <c r="H362" s="2"/>
      <c r="I362" s="2"/>
      <c r="J362" s="3"/>
      <c r="K362" s="3"/>
    </row>
    <row r="363" spans="1:11" x14ac:dyDescent="0.25">
      <c r="A363" s="5"/>
      <c r="B363" s="2"/>
      <c r="C363" s="2"/>
      <c r="D363" s="3"/>
      <c r="E363" s="2"/>
      <c r="F363" s="2"/>
      <c r="G363" s="3"/>
      <c r="H363" s="3"/>
      <c r="I363" s="2"/>
      <c r="J363" s="3"/>
      <c r="K363" s="3"/>
    </row>
    <row r="366" spans="1:11" ht="15.75" x14ac:dyDescent="0.25">
      <c r="A366" s="456" t="s">
        <v>10</v>
      </c>
      <c r="B366" s="456"/>
      <c r="C366" s="456"/>
      <c r="D366" s="456"/>
      <c r="E366" s="456"/>
      <c r="F366" s="456"/>
      <c r="G366" s="456"/>
      <c r="H366" s="456"/>
      <c r="I366" s="456"/>
      <c r="J366" s="456"/>
      <c r="K366" s="456"/>
    </row>
    <row r="367" spans="1:11" ht="15.75" x14ac:dyDescent="0.25">
      <c r="A367" s="456" t="s">
        <v>11</v>
      </c>
      <c r="B367" s="456"/>
      <c r="C367" s="456"/>
      <c r="D367" s="456"/>
      <c r="E367" s="456"/>
      <c r="F367" s="456"/>
      <c r="G367" s="456"/>
      <c r="H367" s="456"/>
      <c r="I367" s="456"/>
      <c r="J367" s="456"/>
      <c r="K367" s="456"/>
    </row>
    <row r="368" spans="1:11" x14ac:dyDescent="0.25">
      <c r="A368" s="2" t="s">
        <v>8</v>
      </c>
      <c r="B368" s="465" t="s">
        <v>192</v>
      </c>
      <c r="C368" s="466"/>
      <c r="D368" s="466"/>
      <c r="E368" s="467"/>
      <c r="F368" s="10" t="s">
        <v>48</v>
      </c>
      <c r="G368" s="468" t="s">
        <v>49</v>
      </c>
      <c r="H368" s="469"/>
      <c r="I368" s="469"/>
      <c r="J368" s="469"/>
      <c r="K368" s="470"/>
    </row>
    <row r="369" spans="1:11" x14ac:dyDescent="0.25">
      <c r="A369" s="4" t="s">
        <v>9</v>
      </c>
      <c r="B369" s="471" t="s">
        <v>66</v>
      </c>
      <c r="C369" s="471"/>
      <c r="D369" s="471"/>
      <c r="E369" s="471"/>
      <c r="F369" s="11" t="s">
        <v>50</v>
      </c>
      <c r="G369" s="471" t="s">
        <v>187</v>
      </c>
      <c r="H369" s="471"/>
      <c r="I369" s="471"/>
      <c r="J369" s="471"/>
      <c r="K369" s="471"/>
    </row>
    <row r="370" spans="1:11" x14ac:dyDescent="0.25">
      <c r="A370" s="464" t="s">
        <v>0</v>
      </c>
      <c r="B370" s="464" t="s">
        <v>1</v>
      </c>
      <c r="C370" s="464" t="s">
        <v>2</v>
      </c>
      <c r="D370" s="464"/>
      <c r="E370" s="464"/>
      <c r="F370" s="464" t="s">
        <v>3</v>
      </c>
      <c r="G370" s="464"/>
      <c r="H370" s="464"/>
      <c r="I370" s="464" t="s">
        <v>4</v>
      </c>
      <c r="J370" s="464"/>
      <c r="K370" s="464"/>
    </row>
    <row r="371" spans="1:11" x14ac:dyDescent="0.25">
      <c r="A371" s="464"/>
      <c r="B371" s="464"/>
      <c r="C371" s="2" t="s">
        <v>5</v>
      </c>
      <c r="D371" s="3" t="s">
        <v>6</v>
      </c>
      <c r="E371" s="2" t="s">
        <v>7</v>
      </c>
      <c r="F371" s="2" t="s">
        <v>5</v>
      </c>
      <c r="G371" s="3" t="s">
        <v>6</v>
      </c>
      <c r="H371" s="2" t="s">
        <v>7</v>
      </c>
      <c r="I371" s="2" t="s">
        <v>5</v>
      </c>
      <c r="J371" s="3" t="s">
        <v>6</v>
      </c>
      <c r="K371" s="2" t="s">
        <v>7</v>
      </c>
    </row>
    <row r="372" spans="1:11" x14ac:dyDescent="0.25">
      <c r="A372" s="1"/>
      <c r="B372" s="1" t="s">
        <v>42</v>
      </c>
      <c r="C372" s="1"/>
      <c r="D372" s="34"/>
      <c r="E372" s="1"/>
      <c r="F372" s="1"/>
      <c r="G372" s="34"/>
      <c r="H372" s="1"/>
      <c r="I372" s="1">
        <v>0</v>
      </c>
      <c r="J372" s="34">
        <v>0</v>
      </c>
      <c r="K372" s="1">
        <v>0</v>
      </c>
    </row>
    <row r="373" spans="1:11" ht="15.75" x14ac:dyDescent="0.25">
      <c r="A373" s="7">
        <v>42009</v>
      </c>
      <c r="B373" s="8" t="s">
        <v>43</v>
      </c>
      <c r="C373" s="6">
        <v>100</v>
      </c>
      <c r="D373" s="27">
        <f>+E373/C373</f>
        <v>0.15640000000000001</v>
      </c>
      <c r="E373" s="8">
        <v>15.64</v>
      </c>
      <c r="F373" s="8"/>
      <c r="G373" s="27"/>
      <c r="H373" s="8"/>
      <c r="I373" s="6">
        <f>+I372+C373</f>
        <v>100</v>
      </c>
      <c r="J373" s="27">
        <f>+K373/I373</f>
        <v>0.15640000000000001</v>
      </c>
      <c r="K373" s="8">
        <f>+K372+E373</f>
        <v>15.64</v>
      </c>
    </row>
    <row r="374" spans="1:11" ht="30" x14ac:dyDescent="0.25">
      <c r="A374" s="307"/>
      <c r="B374" s="309" t="s">
        <v>542</v>
      </c>
      <c r="C374" s="222"/>
      <c r="D374" s="223"/>
      <c r="E374" s="222"/>
      <c r="F374" s="222">
        <v>3</v>
      </c>
      <c r="G374" s="223">
        <f>+J373</f>
        <v>0.15640000000000001</v>
      </c>
      <c r="H374" s="223">
        <f>+G374*F374</f>
        <v>0.46920000000000006</v>
      </c>
      <c r="I374" s="222">
        <f>+I373-F374</f>
        <v>97</v>
      </c>
      <c r="J374" s="342">
        <f>+K374/I374</f>
        <v>0.15640000000000001</v>
      </c>
      <c r="K374" s="223">
        <f>+K373-H374</f>
        <v>15.1708</v>
      </c>
    </row>
    <row r="375" spans="1:11" x14ac:dyDescent="0.25">
      <c r="A375" s="5"/>
      <c r="B375" s="2"/>
      <c r="C375" s="2"/>
      <c r="D375" s="3"/>
      <c r="E375" s="2"/>
      <c r="F375" s="2"/>
      <c r="G375" s="3"/>
      <c r="H375" s="2"/>
      <c r="I375" s="2"/>
      <c r="J375" s="3"/>
      <c r="K375" s="3"/>
    </row>
    <row r="376" spans="1:11" x14ac:dyDescent="0.25">
      <c r="A376" s="5"/>
      <c r="B376" s="2"/>
      <c r="C376" s="2"/>
      <c r="D376" s="3"/>
      <c r="E376" s="2"/>
      <c r="F376" s="2"/>
      <c r="G376" s="3"/>
      <c r="H376" s="3"/>
      <c r="I376" s="2"/>
      <c r="J376" s="3"/>
      <c r="K376" s="3"/>
    </row>
    <row r="380" spans="1:11" ht="15.75" x14ac:dyDescent="0.25">
      <c r="A380" s="456" t="s">
        <v>10</v>
      </c>
      <c r="B380" s="456"/>
      <c r="C380" s="456"/>
      <c r="D380" s="456"/>
      <c r="E380" s="456"/>
      <c r="F380" s="456"/>
      <c r="G380" s="456"/>
      <c r="H380" s="456"/>
      <c r="I380" s="456"/>
      <c r="J380" s="456"/>
      <c r="K380" s="456"/>
    </row>
    <row r="381" spans="1:11" ht="15.75" x14ac:dyDescent="0.25">
      <c r="A381" s="456" t="s">
        <v>11</v>
      </c>
      <c r="B381" s="456"/>
      <c r="C381" s="456"/>
      <c r="D381" s="456"/>
      <c r="E381" s="456"/>
      <c r="F381" s="456"/>
      <c r="G381" s="456"/>
      <c r="H381" s="456"/>
      <c r="I381" s="456"/>
      <c r="J381" s="456"/>
      <c r="K381" s="456"/>
    </row>
    <row r="382" spans="1:11" x14ac:dyDescent="0.25">
      <c r="A382" s="2" t="s">
        <v>8</v>
      </c>
      <c r="B382" s="465" t="s">
        <v>193</v>
      </c>
      <c r="C382" s="466"/>
      <c r="D382" s="466"/>
      <c r="E382" s="467"/>
      <c r="F382" s="10" t="s">
        <v>48</v>
      </c>
      <c r="G382" s="468" t="s">
        <v>49</v>
      </c>
      <c r="H382" s="469"/>
      <c r="I382" s="469"/>
      <c r="J382" s="469"/>
      <c r="K382" s="470"/>
    </row>
    <row r="383" spans="1:11" x14ac:dyDescent="0.25">
      <c r="A383" s="4" t="s">
        <v>9</v>
      </c>
      <c r="B383" s="471" t="s">
        <v>66</v>
      </c>
      <c r="C383" s="471"/>
      <c r="D383" s="471"/>
      <c r="E383" s="471"/>
      <c r="F383" s="11" t="s">
        <v>50</v>
      </c>
      <c r="G383" s="471" t="s">
        <v>179</v>
      </c>
      <c r="H383" s="471"/>
      <c r="I383" s="471"/>
      <c r="J383" s="471"/>
      <c r="K383" s="471"/>
    </row>
    <row r="384" spans="1:11" x14ac:dyDescent="0.25">
      <c r="A384" s="464" t="s">
        <v>0</v>
      </c>
      <c r="B384" s="464" t="s">
        <v>1</v>
      </c>
      <c r="C384" s="464" t="s">
        <v>2</v>
      </c>
      <c r="D384" s="464"/>
      <c r="E384" s="464"/>
      <c r="F384" s="464" t="s">
        <v>3</v>
      </c>
      <c r="G384" s="464"/>
      <c r="H384" s="464"/>
      <c r="I384" s="464" t="s">
        <v>4</v>
      </c>
      <c r="J384" s="464"/>
      <c r="K384" s="464"/>
    </row>
    <row r="385" spans="1:11" x14ac:dyDescent="0.25">
      <c r="A385" s="464"/>
      <c r="B385" s="464"/>
      <c r="C385" s="2" t="s">
        <v>5</v>
      </c>
      <c r="D385" s="3" t="s">
        <v>6</v>
      </c>
      <c r="E385" s="2" t="s">
        <v>7</v>
      </c>
      <c r="F385" s="2" t="s">
        <v>5</v>
      </c>
      <c r="G385" s="3" t="s">
        <v>6</v>
      </c>
      <c r="H385" s="2" t="s">
        <v>7</v>
      </c>
      <c r="I385" s="2" t="s">
        <v>5</v>
      </c>
      <c r="J385" s="3" t="s">
        <v>6</v>
      </c>
      <c r="K385" s="2" t="s">
        <v>7</v>
      </c>
    </row>
    <row r="386" spans="1:11" x14ac:dyDescent="0.25">
      <c r="A386" s="1"/>
      <c r="B386" s="1" t="s">
        <v>42</v>
      </c>
      <c r="C386" s="1"/>
      <c r="D386" s="34"/>
      <c r="E386" s="1"/>
      <c r="F386" s="1"/>
      <c r="G386" s="34"/>
      <c r="H386" s="1"/>
      <c r="I386" s="1">
        <v>0</v>
      </c>
      <c r="J386" s="34">
        <v>0</v>
      </c>
      <c r="K386" s="1">
        <v>0</v>
      </c>
    </row>
    <row r="387" spans="1:11" ht="15.75" x14ac:dyDescent="0.25">
      <c r="A387" s="7">
        <v>42009</v>
      </c>
      <c r="B387" s="8" t="s">
        <v>43</v>
      </c>
      <c r="C387" s="6">
        <v>150</v>
      </c>
      <c r="D387" s="27">
        <f>+E387/C387</f>
        <v>0.31280000000000002</v>
      </c>
      <c r="E387" s="8">
        <v>46.92</v>
      </c>
      <c r="F387" s="8"/>
      <c r="G387" s="27"/>
      <c r="H387" s="8"/>
      <c r="I387" s="6">
        <f>+I386+C387</f>
        <v>150</v>
      </c>
      <c r="J387" s="27">
        <f>+K387/I387</f>
        <v>0.31280000000000002</v>
      </c>
      <c r="K387" s="8">
        <f>+K386+E387</f>
        <v>46.92</v>
      </c>
    </row>
    <row r="388" spans="1:11" ht="30" x14ac:dyDescent="0.25">
      <c r="A388" s="307"/>
      <c r="B388" s="309" t="s">
        <v>566</v>
      </c>
      <c r="C388" s="222"/>
      <c r="D388" s="223"/>
      <c r="E388" s="222"/>
      <c r="F388" s="222">
        <v>3</v>
      </c>
      <c r="G388" s="223">
        <f>+J387</f>
        <v>0.31280000000000002</v>
      </c>
      <c r="H388" s="223">
        <f>+G388*F388</f>
        <v>0.93840000000000012</v>
      </c>
      <c r="I388" s="222">
        <f>+I387-F388</f>
        <v>147</v>
      </c>
      <c r="J388" s="223">
        <f>+K388/I388</f>
        <v>0.31280000000000002</v>
      </c>
      <c r="K388" s="223">
        <f>+K387-H388</f>
        <v>45.9816</v>
      </c>
    </row>
    <row r="389" spans="1:11" x14ac:dyDescent="0.25">
      <c r="A389" s="5"/>
      <c r="B389" s="2"/>
      <c r="C389" s="2"/>
      <c r="D389" s="3"/>
      <c r="E389" s="2"/>
      <c r="F389" s="2"/>
      <c r="G389" s="3"/>
      <c r="H389" s="3"/>
      <c r="I389" s="2"/>
      <c r="J389" s="3"/>
      <c r="K389" s="3"/>
    </row>
    <row r="392" spans="1:11" ht="15.75" x14ac:dyDescent="0.25">
      <c r="A392" s="456" t="s">
        <v>10</v>
      </c>
      <c r="B392" s="456"/>
      <c r="C392" s="456"/>
      <c r="D392" s="456"/>
      <c r="E392" s="456"/>
      <c r="F392" s="456"/>
      <c r="G392" s="456"/>
      <c r="H392" s="456"/>
      <c r="I392" s="456"/>
      <c r="J392" s="456"/>
      <c r="K392" s="456"/>
    </row>
    <row r="393" spans="1:11" ht="15.75" x14ac:dyDescent="0.25">
      <c r="A393" s="456" t="s">
        <v>11</v>
      </c>
      <c r="B393" s="456"/>
      <c r="C393" s="456"/>
      <c r="D393" s="456"/>
      <c r="E393" s="456"/>
      <c r="F393" s="456"/>
      <c r="G393" s="456"/>
      <c r="H393" s="456"/>
      <c r="I393" s="456"/>
      <c r="J393" s="456"/>
      <c r="K393" s="456"/>
    </row>
    <row r="394" spans="1:11" x14ac:dyDescent="0.25">
      <c r="A394" s="2" t="s">
        <v>8</v>
      </c>
      <c r="B394" s="465" t="s">
        <v>194</v>
      </c>
      <c r="C394" s="466"/>
      <c r="D394" s="466"/>
      <c r="E394" s="467"/>
      <c r="F394" s="10" t="s">
        <v>48</v>
      </c>
      <c r="G394" s="468" t="s">
        <v>49</v>
      </c>
      <c r="H394" s="469"/>
      <c r="I394" s="469"/>
      <c r="J394" s="469"/>
      <c r="K394" s="470"/>
    </row>
    <row r="395" spans="1:11" x14ac:dyDescent="0.25">
      <c r="A395" s="4" t="s">
        <v>9</v>
      </c>
      <c r="B395" s="471" t="s">
        <v>66</v>
      </c>
      <c r="C395" s="471"/>
      <c r="D395" s="471"/>
      <c r="E395" s="471"/>
      <c r="F395" s="11" t="s">
        <v>50</v>
      </c>
      <c r="G395" s="471" t="s">
        <v>187</v>
      </c>
      <c r="H395" s="471"/>
      <c r="I395" s="471"/>
      <c r="J395" s="471"/>
      <c r="K395" s="471"/>
    </row>
    <row r="396" spans="1:11" x14ac:dyDescent="0.25">
      <c r="A396" s="464" t="s">
        <v>0</v>
      </c>
      <c r="B396" s="464" t="s">
        <v>1</v>
      </c>
      <c r="C396" s="464" t="s">
        <v>2</v>
      </c>
      <c r="D396" s="464"/>
      <c r="E396" s="464"/>
      <c r="F396" s="464" t="s">
        <v>3</v>
      </c>
      <c r="G396" s="464"/>
      <c r="H396" s="464"/>
      <c r="I396" s="464" t="s">
        <v>4</v>
      </c>
      <c r="J396" s="464"/>
      <c r="K396" s="464"/>
    </row>
    <row r="397" spans="1:11" x14ac:dyDescent="0.25">
      <c r="A397" s="464"/>
      <c r="B397" s="464"/>
      <c r="C397" s="2" t="s">
        <v>5</v>
      </c>
      <c r="D397" s="3" t="s">
        <v>6</v>
      </c>
      <c r="E397" s="2" t="s">
        <v>7</v>
      </c>
      <c r="F397" s="2" t="s">
        <v>5</v>
      </c>
      <c r="G397" s="3" t="s">
        <v>6</v>
      </c>
      <c r="H397" s="2" t="s">
        <v>7</v>
      </c>
      <c r="I397" s="2" t="s">
        <v>5</v>
      </c>
      <c r="J397" s="3" t="s">
        <v>6</v>
      </c>
      <c r="K397" s="2" t="s">
        <v>7</v>
      </c>
    </row>
    <row r="398" spans="1:11" x14ac:dyDescent="0.25">
      <c r="A398" s="1"/>
      <c r="B398" s="1" t="s">
        <v>42</v>
      </c>
      <c r="C398" s="1"/>
      <c r="D398" s="34"/>
      <c r="E398" s="1"/>
      <c r="F398" s="1"/>
      <c r="G398" s="34"/>
      <c r="H398" s="1"/>
      <c r="I398" s="1">
        <v>0</v>
      </c>
      <c r="J398" s="34">
        <v>0</v>
      </c>
      <c r="K398" s="1">
        <v>0</v>
      </c>
    </row>
    <row r="399" spans="1:11" ht="15.75" x14ac:dyDescent="0.25">
      <c r="A399" s="7">
        <v>42009</v>
      </c>
      <c r="B399" s="8" t="s">
        <v>43</v>
      </c>
      <c r="C399" s="6">
        <v>100</v>
      </c>
      <c r="D399" s="27">
        <f>+E399/C399</f>
        <v>0.15640000000000001</v>
      </c>
      <c r="E399" s="8">
        <v>15.64</v>
      </c>
      <c r="F399" s="8"/>
      <c r="G399" s="27"/>
      <c r="H399" s="8"/>
      <c r="I399" s="6">
        <f>+I398+C399</f>
        <v>100</v>
      </c>
      <c r="J399" s="27">
        <f>+K399/I399</f>
        <v>0.15640000000000001</v>
      </c>
      <c r="K399" s="8">
        <f>+K398+E399</f>
        <v>15.64</v>
      </c>
    </row>
    <row r="400" spans="1:11" ht="30" x14ac:dyDescent="0.25">
      <c r="A400" s="307"/>
      <c r="B400" s="309" t="s">
        <v>538</v>
      </c>
      <c r="C400" s="222"/>
      <c r="D400" s="223"/>
      <c r="E400" s="222"/>
      <c r="F400" s="222">
        <v>3</v>
      </c>
      <c r="G400" s="223">
        <f>+J399</f>
        <v>0.15640000000000001</v>
      </c>
      <c r="H400" s="222">
        <f>+G400*F400</f>
        <v>0.46920000000000006</v>
      </c>
      <c r="I400" s="222">
        <f>+I399-F400</f>
        <v>97</v>
      </c>
      <c r="J400" s="223">
        <f>+K400/I400</f>
        <v>0.15640000000000001</v>
      </c>
      <c r="K400" s="223">
        <f>+K399-H400</f>
        <v>15.1708</v>
      </c>
    </row>
    <row r="401" spans="1:11" x14ac:dyDescent="0.25">
      <c r="A401" s="5"/>
      <c r="B401" s="2"/>
      <c r="C401" s="2"/>
      <c r="D401" s="3"/>
      <c r="E401" s="2"/>
      <c r="F401" s="2"/>
      <c r="G401" s="3"/>
      <c r="H401" s="2"/>
      <c r="I401" s="2"/>
      <c r="J401" s="3"/>
      <c r="K401" s="3"/>
    </row>
    <row r="402" spans="1:11" x14ac:dyDescent="0.25">
      <c r="A402" s="5"/>
      <c r="B402" s="2"/>
      <c r="C402" s="2"/>
      <c r="D402" s="3"/>
      <c r="E402" s="2"/>
      <c r="F402" s="2"/>
      <c r="G402" s="3"/>
      <c r="H402" s="3"/>
      <c r="I402" s="2"/>
      <c r="J402" s="3"/>
      <c r="K402" s="3"/>
    </row>
    <row r="405" spans="1:11" ht="15.75" x14ac:dyDescent="0.25">
      <c r="A405" s="456" t="s">
        <v>10</v>
      </c>
      <c r="B405" s="456"/>
      <c r="C405" s="456"/>
      <c r="D405" s="456"/>
      <c r="E405" s="456"/>
      <c r="F405" s="456"/>
      <c r="G405" s="456"/>
      <c r="H405" s="456"/>
      <c r="I405" s="456"/>
      <c r="J405" s="456"/>
      <c r="K405" s="456"/>
    </row>
    <row r="406" spans="1:11" ht="15.75" x14ac:dyDescent="0.25">
      <c r="A406" s="456" t="s">
        <v>11</v>
      </c>
      <c r="B406" s="456"/>
      <c r="C406" s="456"/>
      <c r="D406" s="456"/>
      <c r="E406" s="456"/>
      <c r="F406" s="456"/>
      <c r="G406" s="456"/>
      <c r="H406" s="456"/>
      <c r="I406" s="456"/>
      <c r="J406" s="456"/>
      <c r="K406" s="456"/>
    </row>
    <row r="407" spans="1:11" x14ac:dyDescent="0.25">
      <c r="A407" s="2" t="s">
        <v>8</v>
      </c>
      <c r="B407" s="465" t="s">
        <v>195</v>
      </c>
      <c r="C407" s="466"/>
      <c r="D407" s="466"/>
      <c r="E407" s="467"/>
      <c r="F407" s="10" t="s">
        <v>48</v>
      </c>
      <c r="G407" s="468" t="s">
        <v>49</v>
      </c>
      <c r="H407" s="469"/>
      <c r="I407" s="469"/>
      <c r="J407" s="469"/>
      <c r="K407" s="470"/>
    </row>
    <row r="408" spans="1:11" x14ac:dyDescent="0.25">
      <c r="A408" s="4" t="s">
        <v>9</v>
      </c>
      <c r="B408" s="471" t="s">
        <v>66</v>
      </c>
      <c r="C408" s="471"/>
      <c r="D408" s="471"/>
      <c r="E408" s="471"/>
      <c r="F408" s="11" t="s">
        <v>50</v>
      </c>
      <c r="G408" s="471" t="s">
        <v>177</v>
      </c>
      <c r="H408" s="471"/>
      <c r="I408" s="471"/>
      <c r="J408" s="471"/>
      <c r="K408" s="471"/>
    </row>
    <row r="409" spans="1:11" x14ac:dyDescent="0.25">
      <c r="A409" s="464" t="s">
        <v>0</v>
      </c>
      <c r="B409" s="464" t="s">
        <v>1</v>
      </c>
      <c r="C409" s="464" t="s">
        <v>2</v>
      </c>
      <c r="D409" s="464"/>
      <c r="E409" s="464"/>
      <c r="F409" s="464" t="s">
        <v>3</v>
      </c>
      <c r="G409" s="464"/>
      <c r="H409" s="464"/>
      <c r="I409" s="464" t="s">
        <v>4</v>
      </c>
      <c r="J409" s="464"/>
      <c r="K409" s="464"/>
    </row>
    <row r="410" spans="1:11" x14ac:dyDescent="0.25">
      <c r="A410" s="464"/>
      <c r="B410" s="464"/>
      <c r="C410" s="2" t="s">
        <v>5</v>
      </c>
      <c r="D410" s="3" t="s">
        <v>6</v>
      </c>
      <c r="E410" s="2" t="s">
        <v>7</v>
      </c>
      <c r="F410" s="2" t="s">
        <v>5</v>
      </c>
      <c r="G410" s="3" t="s">
        <v>6</v>
      </c>
      <c r="H410" s="2" t="s">
        <v>7</v>
      </c>
      <c r="I410" s="2" t="s">
        <v>5</v>
      </c>
      <c r="J410" s="3" t="s">
        <v>6</v>
      </c>
      <c r="K410" s="2" t="s">
        <v>7</v>
      </c>
    </row>
    <row r="411" spans="1:11" x14ac:dyDescent="0.25">
      <c r="A411" s="1"/>
      <c r="B411" s="1" t="s">
        <v>42</v>
      </c>
      <c r="C411" s="1"/>
      <c r="D411" s="34"/>
      <c r="E411" s="1"/>
      <c r="F411" s="1"/>
      <c r="G411" s="34"/>
      <c r="H411" s="1"/>
      <c r="I411" s="1">
        <v>0</v>
      </c>
      <c r="J411" s="34">
        <v>0</v>
      </c>
      <c r="K411" s="1">
        <v>0</v>
      </c>
    </row>
    <row r="412" spans="1:11" ht="15.75" x14ac:dyDescent="0.25">
      <c r="A412" s="7">
        <v>42009</v>
      </c>
      <c r="B412" s="8" t="s">
        <v>43</v>
      </c>
      <c r="C412" s="6">
        <v>200</v>
      </c>
      <c r="D412" s="27">
        <f>+E412/C412</f>
        <v>7.8200000000000006E-2</v>
      </c>
      <c r="E412" s="8">
        <v>15.64</v>
      </c>
      <c r="F412" s="8"/>
      <c r="G412" s="27"/>
      <c r="H412" s="8"/>
      <c r="I412" s="6">
        <f>+I411+C412</f>
        <v>200</v>
      </c>
      <c r="J412" s="27">
        <f>+K412/I412</f>
        <v>7.8200000000000006E-2</v>
      </c>
      <c r="K412" s="8">
        <f>+K411+E412</f>
        <v>15.64</v>
      </c>
    </row>
    <row r="413" spans="1:11" ht="30" x14ac:dyDescent="0.25">
      <c r="A413" s="307"/>
      <c r="B413" s="309" t="s">
        <v>583</v>
      </c>
      <c r="C413" s="222"/>
      <c r="D413" s="223"/>
      <c r="E413" s="222"/>
      <c r="F413" s="222">
        <v>3</v>
      </c>
      <c r="G413" s="223">
        <f>+J412</f>
        <v>7.8200000000000006E-2</v>
      </c>
      <c r="H413" s="222">
        <f>+G413*F413</f>
        <v>0.23460000000000003</v>
      </c>
      <c r="I413" s="222">
        <f>+I412-F413</f>
        <v>197</v>
      </c>
      <c r="J413" s="223">
        <f>+K413/I413</f>
        <v>7.8200000000000006E-2</v>
      </c>
      <c r="K413" s="223">
        <f>+K412-H413</f>
        <v>15.4054</v>
      </c>
    </row>
    <row r="414" spans="1:11" x14ac:dyDescent="0.25">
      <c r="A414" s="5"/>
      <c r="B414" s="2"/>
      <c r="C414" s="2"/>
      <c r="D414" s="3"/>
      <c r="E414" s="2"/>
      <c r="F414" s="2"/>
      <c r="G414" s="3"/>
      <c r="H414" s="2"/>
      <c r="I414" s="2"/>
      <c r="J414" s="3"/>
      <c r="K414" s="3"/>
    </row>
    <row r="415" spans="1:11" x14ac:dyDescent="0.25">
      <c r="A415" s="5"/>
      <c r="B415" s="2"/>
      <c r="C415" s="2"/>
      <c r="D415" s="3"/>
      <c r="E415" s="2"/>
      <c r="F415" s="2"/>
      <c r="G415" s="3"/>
      <c r="H415" s="3"/>
      <c r="I415" s="2"/>
      <c r="J415" s="3"/>
      <c r="K415" s="3"/>
    </row>
    <row r="418" spans="1:11" ht="15.75" x14ac:dyDescent="0.25">
      <c r="A418" s="456" t="s">
        <v>10</v>
      </c>
      <c r="B418" s="456"/>
      <c r="C418" s="456"/>
      <c r="D418" s="456"/>
      <c r="E418" s="456"/>
      <c r="F418" s="456"/>
      <c r="G418" s="456"/>
      <c r="H418" s="456"/>
      <c r="I418" s="456"/>
      <c r="J418" s="456"/>
      <c r="K418" s="456"/>
    </row>
    <row r="419" spans="1:11" ht="15.75" x14ac:dyDescent="0.25">
      <c r="A419" s="456" t="s">
        <v>11</v>
      </c>
      <c r="B419" s="456"/>
      <c r="C419" s="456"/>
      <c r="D419" s="456"/>
      <c r="E419" s="456"/>
      <c r="F419" s="456"/>
      <c r="G419" s="456"/>
      <c r="H419" s="456"/>
      <c r="I419" s="456"/>
      <c r="J419" s="456"/>
      <c r="K419" s="456"/>
    </row>
    <row r="420" spans="1:11" x14ac:dyDescent="0.25">
      <c r="A420" s="2" t="s">
        <v>8</v>
      </c>
      <c r="B420" s="465" t="s">
        <v>648</v>
      </c>
      <c r="C420" s="466"/>
      <c r="D420" s="466"/>
      <c r="E420" s="467"/>
      <c r="F420" s="394" t="s">
        <v>48</v>
      </c>
      <c r="G420" s="468" t="s">
        <v>49</v>
      </c>
      <c r="H420" s="469"/>
      <c r="I420" s="469"/>
      <c r="J420" s="469"/>
      <c r="K420" s="470"/>
    </row>
    <row r="421" spans="1:11" x14ac:dyDescent="0.25">
      <c r="A421" s="4" t="s">
        <v>9</v>
      </c>
      <c r="B421" s="471" t="s">
        <v>66</v>
      </c>
      <c r="C421" s="471"/>
      <c r="D421" s="471"/>
      <c r="E421" s="471"/>
      <c r="F421" s="11" t="s">
        <v>50</v>
      </c>
      <c r="G421" s="471" t="s">
        <v>655</v>
      </c>
      <c r="H421" s="471"/>
      <c r="I421" s="471"/>
      <c r="J421" s="471"/>
      <c r="K421" s="471"/>
    </row>
    <row r="422" spans="1:11" x14ac:dyDescent="0.25">
      <c r="A422" s="464" t="s">
        <v>0</v>
      </c>
      <c r="B422" s="464" t="s">
        <v>1</v>
      </c>
      <c r="C422" s="464" t="s">
        <v>2</v>
      </c>
      <c r="D422" s="464"/>
      <c r="E422" s="464"/>
      <c r="F422" s="464" t="s">
        <v>3</v>
      </c>
      <c r="G422" s="464"/>
      <c r="H422" s="464"/>
      <c r="I422" s="464" t="s">
        <v>4</v>
      </c>
      <c r="J422" s="464"/>
      <c r="K422" s="464"/>
    </row>
    <row r="423" spans="1:11" x14ac:dyDescent="0.25">
      <c r="A423" s="464"/>
      <c r="B423" s="464"/>
      <c r="C423" s="2" t="s">
        <v>5</v>
      </c>
      <c r="D423" s="3" t="s">
        <v>6</v>
      </c>
      <c r="E423" s="2" t="s">
        <v>7</v>
      </c>
      <c r="F423" s="2" t="s">
        <v>5</v>
      </c>
      <c r="G423" s="3" t="s">
        <v>6</v>
      </c>
      <c r="H423" s="2" t="s">
        <v>7</v>
      </c>
      <c r="I423" s="2" t="s">
        <v>5</v>
      </c>
      <c r="J423" s="3" t="s">
        <v>6</v>
      </c>
      <c r="K423" s="2" t="s">
        <v>7</v>
      </c>
    </row>
    <row r="424" spans="1:11" x14ac:dyDescent="0.25">
      <c r="A424" s="1"/>
      <c r="B424" s="1" t="s">
        <v>42</v>
      </c>
      <c r="C424" s="1"/>
      <c r="D424" s="34"/>
      <c r="E424" s="1"/>
      <c r="F424" s="1"/>
      <c r="G424" s="34"/>
      <c r="H424" s="1"/>
      <c r="I424" s="1">
        <v>0</v>
      </c>
      <c r="J424" s="34">
        <v>0</v>
      </c>
      <c r="K424" s="1">
        <v>0</v>
      </c>
    </row>
    <row r="425" spans="1:11" ht="15.75" x14ac:dyDescent="0.25">
      <c r="A425" s="7">
        <v>42009</v>
      </c>
      <c r="B425" s="8" t="s">
        <v>43</v>
      </c>
      <c r="C425" s="6">
        <v>150</v>
      </c>
      <c r="D425" s="27">
        <f>+E425/C425</f>
        <v>0.20166666666666666</v>
      </c>
      <c r="E425" s="8">
        <v>30.25</v>
      </c>
      <c r="F425" s="8"/>
      <c r="G425" s="27"/>
      <c r="H425" s="8"/>
      <c r="I425" s="6">
        <f>+I424+C425</f>
        <v>150</v>
      </c>
      <c r="J425" s="27">
        <f>+K425/I425</f>
        <v>0.20166666666666666</v>
      </c>
      <c r="K425" s="8">
        <f>+K424+E425</f>
        <v>30.25</v>
      </c>
    </row>
    <row r="426" spans="1:11" s="4" customFormat="1" ht="30" x14ac:dyDescent="0.25">
      <c r="A426" s="5"/>
      <c r="B426" s="395" t="s">
        <v>583</v>
      </c>
      <c r="C426" s="2"/>
      <c r="D426" s="3"/>
      <c r="E426" s="2"/>
      <c r="F426" s="2">
        <v>2</v>
      </c>
      <c r="G426" s="3">
        <f>+J425</f>
        <v>0.20166666666666666</v>
      </c>
      <c r="H426" s="2">
        <f>+G426*F426</f>
        <v>0.40333333333333332</v>
      </c>
      <c r="I426" s="2">
        <f>+I425-F426</f>
        <v>148</v>
      </c>
      <c r="J426" s="3">
        <f>+K426/I426</f>
        <v>0.20166666666666666</v>
      </c>
      <c r="K426" s="3">
        <f>+K425-H426</f>
        <v>29.846666666666668</v>
      </c>
    </row>
    <row r="427" spans="1:11" x14ac:dyDescent="0.25">
      <c r="A427" s="5"/>
      <c r="B427" s="2"/>
      <c r="C427" s="2"/>
      <c r="D427" s="3"/>
      <c r="E427" s="2"/>
      <c r="F427" s="2"/>
      <c r="G427" s="3"/>
      <c r="H427" s="2"/>
      <c r="I427" s="2"/>
      <c r="J427" s="3"/>
      <c r="K427" s="3"/>
    </row>
    <row r="428" spans="1:11" x14ac:dyDescent="0.25">
      <c r="A428" s="5"/>
      <c r="B428" s="2"/>
      <c r="C428" s="2"/>
      <c r="D428" s="3"/>
      <c r="E428" s="2"/>
      <c r="F428" s="2"/>
      <c r="G428" s="3"/>
      <c r="H428" s="3"/>
      <c r="I428" s="2"/>
      <c r="J428" s="3"/>
      <c r="K428" s="3"/>
    </row>
    <row r="430" spans="1:11" ht="15.75" x14ac:dyDescent="0.25">
      <c r="A430" s="456" t="s">
        <v>10</v>
      </c>
      <c r="B430" s="456"/>
      <c r="C430" s="456"/>
      <c r="D430" s="456"/>
      <c r="E430" s="456"/>
      <c r="F430" s="456"/>
      <c r="G430" s="456"/>
      <c r="H430" s="456"/>
      <c r="I430" s="456"/>
      <c r="J430" s="456"/>
      <c r="K430" s="456"/>
    </row>
    <row r="431" spans="1:11" ht="15.75" x14ac:dyDescent="0.25">
      <c r="A431" s="456" t="s">
        <v>11</v>
      </c>
      <c r="B431" s="456"/>
      <c r="C431" s="456"/>
      <c r="D431" s="456"/>
      <c r="E431" s="456"/>
      <c r="F431" s="456"/>
      <c r="G431" s="456"/>
      <c r="H431" s="456"/>
      <c r="I431" s="456"/>
      <c r="J431" s="456"/>
      <c r="K431" s="456"/>
    </row>
    <row r="432" spans="1:11" x14ac:dyDescent="0.25">
      <c r="A432" s="2" t="s">
        <v>8</v>
      </c>
      <c r="B432" s="465" t="s">
        <v>649</v>
      </c>
      <c r="C432" s="466"/>
      <c r="D432" s="466"/>
      <c r="E432" s="467"/>
      <c r="F432" s="394" t="s">
        <v>48</v>
      </c>
      <c r="G432" s="468" t="s">
        <v>49</v>
      </c>
      <c r="H432" s="469"/>
      <c r="I432" s="469"/>
      <c r="J432" s="469"/>
      <c r="K432" s="470"/>
    </row>
    <row r="433" spans="1:11" x14ac:dyDescent="0.25">
      <c r="A433" s="4" t="s">
        <v>9</v>
      </c>
      <c r="B433" s="471" t="s">
        <v>66</v>
      </c>
      <c r="C433" s="471"/>
      <c r="D433" s="471"/>
      <c r="E433" s="471"/>
      <c r="F433" s="11" t="s">
        <v>50</v>
      </c>
      <c r="G433" s="471" t="s">
        <v>655</v>
      </c>
      <c r="H433" s="471"/>
      <c r="I433" s="471"/>
      <c r="J433" s="471"/>
      <c r="K433" s="471"/>
    </row>
    <row r="434" spans="1:11" x14ac:dyDescent="0.25">
      <c r="A434" s="464" t="s">
        <v>0</v>
      </c>
      <c r="B434" s="464" t="s">
        <v>1</v>
      </c>
      <c r="C434" s="464" t="s">
        <v>2</v>
      </c>
      <c r="D434" s="464"/>
      <c r="E434" s="464"/>
      <c r="F434" s="464" t="s">
        <v>3</v>
      </c>
      <c r="G434" s="464"/>
      <c r="H434" s="464"/>
      <c r="I434" s="464" t="s">
        <v>4</v>
      </c>
      <c r="J434" s="464"/>
      <c r="K434" s="464"/>
    </row>
    <row r="435" spans="1:11" x14ac:dyDescent="0.25">
      <c r="A435" s="464"/>
      <c r="B435" s="464"/>
      <c r="C435" s="2" t="s">
        <v>5</v>
      </c>
      <c r="D435" s="3" t="s">
        <v>6</v>
      </c>
      <c r="E435" s="2" t="s">
        <v>7</v>
      </c>
      <c r="F435" s="2" t="s">
        <v>5</v>
      </c>
      <c r="G435" s="3" t="s">
        <v>6</v>
      </c>
      <c r="H435" s="2" t="s">
        <v>7</v>
      </c>
      <c r="I435" s="2" t="s">
        <v>5</v>
      </c>
      <c r="J435" s="3" t="s">
        <v>6</v>
      </c>
      <c r="K435" s="2" t="s">
        <v>7</v>
      </c>
    </row>
    <row r="436" spans="1:11" x14ac:dyDescent="0.25">
      <c r="A436" s="1"/>
      <c r="B436" s="1" t="s">
        <v>42</v>
      </c>
      <c r="C436" s="1"/>
      <c r="D436" s="34"/>
      <c r="E436" s="1"/>
      <c r="F436" s="1"/>
      <c r="G436" s="34"/>
      <c r="H436" s="1"/>
      <c r="I436" s="1">
        <v>0</v>
      </c>
      <c r="J436" s="34">
        <v>0</v>
      </c>
      <c r="K436" s="1">
        <v>0</v>
      </c>
    </row>
    <row r="437" spans="1:11" ht="15.75" x14ac:dyDescent="0.25">
      <c r="A437" s="7">
        <v>42009</v>
      </c>
      <c r="B437" s="8" t="s">
        <v>43</v>
      </c>
      <c r="C437" s="6">
        <v>150</v>
      </c>
      <c r="D437" s="27">
        <f>+E437/C437</f>
        <v>0.12239999999999999</v>
      </c>
      <c r="E437" s="8">
        <v>18.36</v>
      </c>
      <c r="F437" s="8"/>
      <c r="G437" s="27"/>
      <c r="H437" s="8"/>
      <c r="I437" s="6">
        <f>+I436+C437</f>
        <v>150</v>
      </c>
      <c r="J437" s="27">
        <f>+K437/I437</f>
        <v>0.12239999999999999</v>
      </c>
      <c r="K437" s="8">
        <f>+K436+E437</f>
        <v>18.36</v>
      </c>
    </row>
    <row r="438" spans="1:11" ht="30" x14ac:dyDescent="0.25">
      <c r="A438" s="5"/>
      <c r="B438" s="395" t="s">
        <v>583</v>
      </c>
      <c r="C438" s="2"/>
      <c r="D438" s="3"/>
      <c r="E438" s="2"/>
      <c r="F438" s="2">
        <v>2.5</v>
      </c>
      <c r="G438" s="3">
        <f>+J437</f>
        <v>0.12239999999999999</v>
      </c>
      <c r="H438" s="2">
        <f>+G438*F438</f>
        <v>0.30599999999999999</v>
      </c>
      <c r="I438" s="2">
        <f>+I437-F438</f>
        <v>147.5</v>
      </c>
      <c r="J438" s="3">
        <f>+K438/I438</f>
        <v>0.12239999999999999</v>
      </c>
      <c r="K438" s="3">
        <f>+K437-H438</f>
        <v>18.053999999999998</v>
      </c>
    </row>
    <row r="439" spans="1:11" x14ac:dyDescent="0.25">
      <c r="A439" s="5"/>
      <c r="B439" s="2"/>
      <c r="C439" s="2"/>
      <c r="D439" s="3"/>
      <c r="E439" s="2"/>
      <c r="F439" s="2"/>
      <c r="G439" s="3"/>
      <c r="H439" s="2"/>
      <c r="I439" s="2"/>
      <c r="J439" s="3"/>
      <c r="K439" s="3"/>
    </row>
    <row r="440" spans="1:11" x14ac:dyDescent="0.25">
      <c r="A440" s="5"/>
      <c r="B440" s="2"/>
      <c r="C440" s="2"/>
      <c r="D440" s="3"/>
      <c r="E440" s="2"/>
      <c r="F440" s="2"/>
      <c r="G440" s="3"/>
      <c r="H440" s="3"/>
      <c r="I440" s="2"/>
      <c r="J440" s="3"/>
      <c r="K440" s="3"/>
    </row>
  </sheetData>
  <mergeCells count="352">
    <mergeCell ref="A430:K430"/>
    <mergeCell ref="A431:K431"/>
    <mergeCell ref="B432:E432"/>
    <mergeCell ref="G432:K432"/>
    <mergeCell ref="B433:E433"/>
    <mergeCell ref="G433:K433"/>
    <mergeCell ref="A434:A435"/>
    <mergeCell ref="B434:B435"/>
    <mergeCell ref="C434:E434"/>
    <mergeCell ref="F434:H434"/>
    <mergeCell ref="I434:K434"/>
    <mergeCell ref="A418:K418"/>
    <mergeCell ref="A419:K419"/>
    <mergeCell ref="B420:E420"/>
    <mergeCell ref="G420:K420"/>
    <mergeCell ref="B421:E421"/>
    <mergeCell ref="G421:K421"/>
    <mergeCell ref="A422:A423"/>
    <mergeCell ref="B422:B423"/>
    <mergeCell ref="C422:E422"/>
    <mergeCell ref="F422:H422"/>
    <mergeCell ref="I422:K422"/>
    <mergeCell ref="A171:A172"/>
    <mergeCell ref="B171:B172"/>
    <mergeCell ref="C171:E171"/>
    <mergeCell ref="F171:H171"/>
    <mergeCell ref="I171:K171"/>
    <mergeCell ref="A167:K167"/>
    <mergeCell ref="A168:K168"/>
    <mergeCell ref="B169:E169"/>
    <mergeCell ref="G169:K169"/>
    <mergeCell ref="B170:E170"/>
    <mergeCell ref="G170:K170"/>
    <mergeCell ref="A155:A156"/>
    <mergeCell ref="B155:B156"/>
    <mergeCell ref="C155:E155"/>
    <mergeCell ref="F155:H155"/>
    <mergeCell ref="I155:K155"/>
    <mergeCell ref="A151:K151"/>
    <mergeCell ref="A152:K152"/>
    <mergeCell ref="B153:E153"/>
    <mergeCell ref="G153:K153"/>
    <mergeCell ref="B154:E154"/>
    <mergeCell ref="G154:K154"/>
    <mergeCell ref="A140:A141"/>
    <mergeCell ref="B140:B141"/>
    <mergeCell ref="C140:E140"/>
    <mergeCell ref="F140:H140"/>
    <mergeCell ref="I140:K140"/>
    <mergeCell ref="A136:K136"/>
    <mergeCell ref="A137:K137"/>
    <mergeCell ref="B138:E138"/>
    <mergeCell ref="G138:K138"/>
    <mergeCell ref="B139:E139"/>
    <mergeCell ref="G139:K139"/>
    <mergeCell ref="A124:K124"/>
    <mergeCell ref="B125:E125"/>
    <mergeCell ref="G125:K125"/>
    <mergeCell ref="B126:E126"/>
    <mergeCell ref="G126:K126"/>
    <mergeCell ref="A127:A128"/>
    <mergeCell ref="B127:B128"/>
    <mergeCell ref="C127:E127"/>
    <mergeCell ref="F127:H127"/>
    <mergeCell ref="I127:K127"/>
    <mergeCell ref="A114:A115"/>
    <mergeCell ref="B114:B115"/>
    <mergeCell ref="C114:E114"/>
    <mergeCell ref="F114:H114"/>
    <mergeCell ref="I114:K114"/>
    <mergeCell ref="A123:K123"/>
    <mergeCell ref="A110:K110"/>
    <mergeCell ref="A111:K111"/>
    <mergeCell ref="B112:E112"/>
    <mergeCell ref="G112:K112"/>
    <mergeCell ref="B113:E113"/>
    <mergeCell ref="G113:K113"/>
    <mergeCell ref="A97:K97"/>
    <mergeCell ref="B98:E98"/>
    <mergeCell ref="G98:K98"/>
    <mergeCell ref="B99:E99"/>
    <mergeCell ref="G99:K99"/>
    <mergeCell ref="A100:A101"/>
    <mergeCell ref="B100:B101"/>
    <mergeCell ref="C100:E100"/>
    <mergeCell ref="F100:H100"/>
    <mergeCell ref="I100:K100"/>
    <mergeCell ref="A85:A86"/>
    <mergeCell ref="B85:B86"/>
    <mergeCell ref="C85:E85"/>
    <mergeCell ref="F85:H85"/>
    <mergeCell ref="I85:K85"/>
    <mergeCell ref="A96:K96"/>
    <mergeCell ref="A81:K81"/>
    <mergeCell ref="A82:K82"/>
    <mergeCell ref="B83:E83"/>
    <mergeCell ref="G83:K83"/>
    <mergeCell ref="B84:E84"/>
    <mergeCell ref="G84:K84"/>
    <mergeCell ref="A69:K69"/>
    <mergeCell ref="B70:E70"/>
    <mergeCell ref="G70:K70"/>
    <mergeCell ref="B71:E71"/>
    <mergeCell ref="G71:K71"/>
    <mergeCell ref="A72:A73"/>
    <mergeCell ref="B72:B73"/>
    <mergeCell ref="C72:E72"/>
    <mergeCell ref="F72:H72"/>
    <mergeCell ref="I72:K72"/>
    <mergeCell ref="A60:A61"/>
    <mergeCell ref="B60:B61"/>
    <mergeCell ref="C60:E60"/>
    <mergeCell ref="F60:H60"/>
    <mergeCell ref="I60:K60"/>
    <mergeCell ref="A68:K68"/>
    <mergeCell ref="A56:K56"/>
    <mergeCell ref="A57:K57"/>
    <mergeCell ref="B58:E58"/>
    <mergeCell ref="G58:K58"/>
    <mergeCell ref="B59:E59"/>
    <mergeCell ref="G59:K59"/>
    <mergeCell ref="A44:K44"/>
    <mergeCell ref="B45:E45"/>
    <mergeCell ref="G45:K45"/>
    <mergeCell ref="B46:E46"/>
    <mergeCell ref="G46:K46"/>
    <mergeCell ref="A47:A48"/>
    <mergeCell ref="B47:B48"/>
    <mergeCell ref="C47:E47"/>
    <mergeCell ref="F47:H47"/>
    <mergeCell ref="I47:K47"/>
    <mergeCell ref="A34:A35"/>
    <mergeCell ref="B34:B35"/>
    <mergeCell ref="C34:E34"/>
    <mergeCell ref="F34:H34"/>
    <mergeCell ref="I34:K34"/>
    <mergeCell ref="A43:K43"/>
    <mergeCell ref="A30:K30"/>
    <mergeCell ref="A31:K31"/>
    <mergeCell ref="B32:E32"/>
    <mergeCell ref="G32:K32"/>
    <mergeCell ref="B33:E33"/>
    <mergeCell ref="G33:K33"/>
    <mergeCell ref="A16:K16"/>
    <mergeCell ref="B17:E17"/>
    <mergeCell ref="G17:K17"/>
    <mergeCell ref="B18:E18"/>
    <mergeCell ref="G18:K18"/>
    <mergeCell ref="A19:A20"/>
    <mergeCell ref="B19:B20"/>
    <mergeCell ref="C19:E19"/>
    <mergeCell ref="F19:H19"/>
    <mergeCell ref="I19:K19"/>
    <mergeCell ref="A6:A7"/>
    <mergeCell ref="B6:B7"/>
    <mergeCell ref="C6:E6"/>
    <mergeCell ref="F6:H6"/>
    <mergeCell ref="I6:K6"/>
    <mergeCell ref="A15:K15"/>
    <mergeCell ref="A2:K2"/>
    <mergeCell ref="A3:K3"/>
    <mergeCell ref="B4:E4"/>
    <mergeCell ref="G4:K4"/>
    <mergeCell ref="B5:E5"/>
    <mergeCell ref="G5:K5"/>
    <mergeCell ref="A180:K180"/>
    <mergeCell ref="A181:K181"/>
    <mergeCell ref="B182:E182"/>
    <mergeCell ref="G182:K182"/>
    <mergeCell ref="B183:E183"/>
    <mergeCell ref="G183:K183"/>
    <mergeCell ref="A184:A185"/>
    <mergeCell ref="B184:B185"/>
    <mergeCell ref="C184:E184"/>
    <mergeCell ref="F184:H184"/>
    <mergeCell ref="I184:K184"/>
    <mergeCell ref="A193:K193"/>
    <mergeCell ref="A194:K194"/>
    <mergeCell ref="B195:E195"/>
    <mergeCell ref="G195:K195"/>
    <mergeCell ref="B196:E196"/>
    <mergeCell ref="G196:K196"/>
    <mergeCell ref="A197:A198"/>
    <mergeCell ref="B197:B198"/>
    <mergeCell ref="C197:E197"/>
    <mergeCell ref="F197:H197"/>
    <mergeCell ref="I197:K197"/>
    <mergeCell ref="A213:K213"/>
    <mergeCell ref="A214:K214"/>
    <mergeCell ref="B215:E215"/>
    <mergeCell ref="G215:K215"/>
    <mergeCell ref="B216:E216"/>
    <mergeCell ref="G216:K216"/>
    <mergeCell ref="A217:A218"/>
    <mergeCell ref="B217:B218"/>
    <mergeCell ref="C217:E217"/>
    <mergeCell ref="F217:H217"/>
    <mergeCell ref="I217:K217"/>
    <mergeCell ref="A231:K231"/>
    <mergeCell ref="A232:K232"/>
    <mergeCell ref="B233:E233"/>
    <mergeCell ref="G233:K233"/>
    <mergeCell ref="B234:E234"/>
    <mergeCell ref="G234:K234"/>
    <mergeCell ref="A235:A236"/>
    <mergeCell ref="B235:B236"/>
    <mergeCell ref="C235:E235"/>
    <mergeCell ref="F235:H235"/>
    <mergeCell ref="I235:K235"/>
    <mergeCell ref="A244:K244"/>
    <mergeCell ref="A245:K245"/>
    <mergeCell ref="B246:E246"/>
    <mergeCell ref="G246:K246"/>
    <mergeCell ref="B247:E247"/>
    <mergeCell ref="G247:K247"/>
    <mergeCell ref="A248:A249"/>
    <mergeCell ref="B248:B249"/>
    <mergeCell ref="C248:E248"/>
    <mergeCell ref="F248:H248"/>
    <mergeCell ref="I248:K248"/>
    <mergeCell ref="A257:K257"/>
    <mergeCell ref="A258:K258"/>
    <mergeCell ref="B259:E259"/>
    <mergeCell ref="G259:K259"/>
    <mergeCell ref="B260:E260"/>
    <mergeCell ref="G260:K260"/>
    <mergeCell ref="A261:A262"/>
    <mergeCell ref="B261:B262"/>
    <mergeCell ref="C261:E261"/>
    <mergeCell ref="F261:H261"/>
    <mergeCell ref="I261:K261"/>
    <mergeCell ref="A272:K272"/>
    <mergeCell ref="A273:K273"/>
    <mergeCell ref="B274:E274"/>
    <mergeCell ref="G274:K274"/>
    <mergeCell ref="B275:E275"/>
    <mergeCell ref="G275:K275"/>
    <mergeCell ref="A276:A277"/>
    <mergeCell ref="B276:B277"/>
    <mergeCell ref="C276:E276"/>
    <mergeCell ref="F276:H276"/>
    <mergeCell ref="I276:K276"/>
    <mergeCell ref="A285:K285"/>
    <mergeCell ref="A286:K286"/>
    <mergeCell ref="B287:E287"/>
    <mergeCell ref="G287:K287"/>
    <mergeCell ref="B288:E288"/>
    <mergeCell ref="G288:K288"/>
    <mergeCell ref="A289:A290"/>
    <mergeCell ref="B289:B290"/>
    <mergeCell ref="C289:E289"/>
    <mergeCell ref="F289:H289"/>
    <mergeCell ref="I289:K289"/>
    <mergeCell ref="A299:K299"/>
    <mergeCell ref="A300:K300"/>
    <mergeCell ref="B301:E301"/>
    <mergeCell ref="G301:K301"/>
    <mergeCell ref="B302:E302"/>
    <mergeCell ref="G302:K302"/>
    <mergeCell ref="A303:A304"/>
    <mergeCell ref="B303:B304"/>
    <mergeCell ref="C303:E303"/>
    <mergeCell ref="F303:H303"/>
    <mergeCell ref="I303:K303"/>
    <mergeCell ref="A313:K313"/>
    <mergeCell ref="A314:K314"/>
    <mergeCell ref="B315:E315"/>
    <mergeCell ref="G315:K315"/>
    <mergeCell ref="B316:E316"/>
    <mergeCell ref="G316:K316"/>
    <mergeCell ref="A317:A318"/>
    <mergeCell ref="B317:B318"/>
    <mergeCell ref="C317:E317"/>
    <mergeCell ref="F317:H317"/>
    <mergeCell ref="I317:K317"/>
    <mergeCell ref="A326:K326"/>
    <mergeCell ref="A327:K327"/>
    <mergeCell ref="B328:E328"/>
    <mergeCell ref="G328:K328"/>
    <mergeCell ref="B329:E329"/>
    <mergeCell ref="G329:K329"/>
    <mergeCell ref="A330:A331"/>
    <mergeCell ref="B330:B331"/>
    <mergeCell ref="C330:E330"/>
    <mergeCell ref="F330:H330"/>
    <mergeCell ref="I330:K330"/>
    <mergeCell ref="A340:K340"/>
    <mergeCell ref="A341:K341"/>
    <mergeCell ref="B342:E342"/>
    <mergeCell ref="G342:K342"/>
    <mergeCell ref="B343:E343"/>
    <mergeCell ref="G343:K343"/>
    <mergeCell ref="A344:A345"/>
    <mergeCell ref="B344:B345"/>
    <mergeCell ref="C344:E344"/>
    <mergeCell ref="F344:H344"/>
    <mergeCell ref="I344:K344"/>
    <mergeCell ref="A353:K353"/>
    <mergeCell ref="A354:K354"/>
    <mergeCell ref="B355:E355"/>
    <mergeCell ref="G355:K355"/>
    <mergeCell ref="B356:E356"/>
    <mergeCell ref="G356:K356"/>
    <mergeCell ref="A357:A358"/>
    <mergeCell ref="B357:B358"/>
    <mergeCell ref="C357:E357"/>
    <mergeCell ref="F357:H357"/>
    <mergeCell ref="I357:K357"/>
    <mergeCell ref="A366:K366"/>
    <mergeCell ref="A367:K367"/>
    <mergeCell ref="B368:E368"/>
    <mergeCell ref="G368:K368"/>
    <mergeCell ref="B369:E369"/>
    <mergeCell ref="G369:K369"/>
    <mergeCell ref="A370:A371"/>
    <mergeCell ref="B370:B371"/>
    <mergeCell ref="C370:E370"/>
    <mergeCell ref="F370:H370"/>
    <mergeCell ref="I370:K370"/>
    <mergeCell ref="A380:K380"/>
    <mergeCell ref="A381:K381"/>
    <mergeCell ref="B382:E382"/>
    <mergeCell ref="G382:K382"/>
    <mergeCell ref="B383:E383"/>
    <mergeCell ref="G383:K383"/>
    <mergeCell ref="A384:A385"/>
    <mergeCell ref="B384:B385"/>
    <mergeCell ref="C384:E384"/>
    <mergeCell ref="F384:H384"/>
    <mergeCell ref="I384:K384"/>
    <mergeCell ref="A392:K392"/>
    <mergeCell ref="A393:K393"/>
    <mergeCell ref="B394:E394"/>
    <mergeCell ref="G394:K394"/>
    <mergeCell ref="B395:E395"/>
    <mergeCell ref="G395:K395"/>
    <mergeCell ref="A396:A397"/>
    <mergeCell ref="B396:B397"/>
    <mergeCell ref="C396:E396"/>
    <mergeCell ref="F396:H396"/>
    <mergeCell ref="I396:K396"/>
    <mergeCell ref="A405:K405"/>
    <mergeCell ref="A406:K406"/>
    <mergeCell ref="B407:E407"/>
    <mergeCell ref="G407:K407"/>
    <mergeCell ref="B408:E408"/>
    <mergeCell ref="G408:K408"/>
    <mergeCell ref="A409:A410"/>
    <mergeCell ref="B409:B410"/>
    <mergeCell ref="C409:E409"/>
    <mergeCell ref="F409:H409"/>
    <mergeCell ref="I409:K40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18"/>
  <sheetViews>
    <sheetView topLeftCell="A88" workbookViewId="0">
      <selection activeCell="D507" sqref="D507:E507"/>
    </sheetView>
  </sheetViews>
  <sheetFormatPr baseColWidth="10" defaultRowHeight="15" x14ac:dyDescent="0.25"/>
  <cols>
    <col min="2" max="2" width="41.42578125" customWidth="1"/>
    <col min="3" max="3" width="45.5703125" customWidth="1"/>
  </cols>
  <sheetData>
    <row r="2" spans="1:9" x14ac:dyDescent="0.25">
      <c r="A2" s="33" t="s">
        <v>0</v>
      </c>
      <c r="B2" s="482" t="s">
        <v>199</v>
      </c>
      <c r="C2" s="483"/>
      <c r="D2" s="32" t="s">
        <v>196</v>
      </c>
      <c r="E2" s="32" t="s">
        <v>197</v>
      </c>
      <c r="F2" s="32" t="s">
        <v>198</v>
      </c>
    </row>
    <row r="3" spans="1:9" x14ac:dyDescent="0.25">
      <c r="A3" s="102">
        <v>42644</v>
      </c>
      <c r="B3" s="482">
        <v>1</v>
      </c>
      <c r="C3" s="483"/>
      <c r="D3" s="32"/>
      <c r="E3" s="32"/>
      <c r="F3" s="32"/>
    </row>
    <row r="4" spans="1:9" x14ac:dyDescent="0.25">
      <c r="A4" s="1"/>
      <c r="B4" s="186" t="s">
        <v>294</v>
      </c>
      <c r="C4" s="149"/>
      <c r="D4" s="149"/>
      <c r="E4" s="150">
        <f>+D5</f>
        <v>5.1999999999999998E-2</v>
      </c>
      <c r="F4" s="1"/>
    </row>
    <row r="5" spans="1:9" x14ac:dyDescent="0.25">
      <c r="A5" s="1"/>
      <c r="B5" t="s">
        <v>322</v>
      </c>
      <c r="C5" s="1"/>
      <c r="D5" s="34">
        <f>+'hoja de costos '!E15</f>
        <v>5.1999999999999998E-2</v>
      </c>
      <c r="E5" s="1"/>
      <c r="F5" s="1"/>
    </row>
    <row r="6" spans="1:9" ht="15.75" x14ac:dyDescent="0.25">
      <c r="A6" s="1"/>
      <c r="B6" s="1"/>
      <c r="C6" s="188" t="s">
        <v>200</v>
      </c>
      <c r="D6" s="68"/>
      <c r="E6" s="68"/>
      <c r="F6" s="69">
        <f>+D7</f>
        <v>5.1999999999999998E-2</v>
      </c>
      <c r="I6" s="35">
        <f>+'Libro diario'!D459</f>
        <v>0</v>
      </c>
    </row>
    <row r="7" spans="1:9" x14ac:dyDescent="0.25">
      <c r="A7" s="1"/>
      <c r="B7" s="1"/>
      <c r="C7" s="101" t="s">
        <v>145</v>
      </c>
      <c r="D7" s="34">
        <f>+'kardex reactivos 2'!H370</f>
        <v>5.1999999999999998E-2</v>
      </c>
      <c r="E7" s="1"/>
      <c r="F7" s="1"/>
    </row>
    <row r="8" spans="1:9" x14ac:dyDescent="0.25">
      <c r="A8" s="1"/>
      <c r="B8" s="1" t="s">
        <v>301</v>
      </c>
      <c r="C8" s="1"/>
      <c r="D8" s="1">
        <v>23.02</v>
      </c>
      <c r="E8" s="1"/>
      <c r="F8" s="1"/>
    </row>
    <row r="9" spans="1:9" x14ac:dyDescent="0.25">
      <c r="A9" s="102">
        <v>42644</v>
      </c>
      <c r="B9" s="475">
        <v>2</v>
      </c>
      <c r="C9" s="475"/>
      <c r="D9" s="1"/>
      <c r="E9" s="1"/>
      <c r="F9" s="1"/>
    </row>
    <row r="10" spans="1:9" x14ac:dyDescent="0.25">
      <c r="A10" s="1"/>
      <c r="B10" s="222" t="s">
        <v>508</v>
      </c>
      <c r="C10" s="222"/>
      <c r="D10" s="222"/>
      <c r="E10" s="223">
        <f>+F11</f>
        <v>0.129</v>
      </c>
      <c r="F10" s="1"/>
    </row>
    <row r="11" spans="1:9" x14ac:dyDescent="0.25">
      <c r="A11" s="1"/>
      <c r="B11" s="1"/>
      <c r="C11" s="190" t="s">
        <v>204</v>
      </c>
      <c r="D11" s="190"/>
      <c r="E11" s="190"/>
      <c r="F11" s="191">
        <f>+D12+D13+D14+D15</f>
        <v>0.129</v>
      </c>
    </row>
    <row r="12" spans="1:9" x14ac:dyDescent="0.25">
      <c r="A12" s="1"/>
      <c r="B12" s="1"/>
      <c r="C12" s="1" t="s">
        <v>29</v>
      </c>
      <c r="D12" s="34">
        <f>+'kardex materiales'!H280</f>
        <v>8.9999999999999993E-3</v>
      </c>
      <c r="E12" s="1"/>
      <c r="F12" s="1"/>
    </row>
    <row r="13" spans="1:9" x14ac:dyDescent="0.25">
      <c r="A13" s="1"/>
      <c r="B13" s="1"/>
      <c r="C13" s="1" t="s">
        <v>24</v>
      </c>
      <c r="D13" s="1">
        <f>+'kardex materiales'!H211</f>
        <v>0.05</v>
      </c>
      <c r="E13" s="1"/>
      <c r="F13" s="1"/>
    </row>
    <row r="14" spans="1:9" x14ac:dyDescent="0.25">
      <c r="A14" s="1"/>
      <c r="B14" s="1"/>
      <c r="C14" s="1" t="s">
        <v>31</v>
      </c>
      <c r="D14" s="1">
        <f>+'kardex materiales'!H310</f>
        <v>0.05</v>
      </c>
      <c r="E14" s="1"/>
      <c r="F14" s="1"/>
    </row>
    <row r="15" spans="1:9" x14ac:dyDescent="0.25">
      <c r="A15" s="1"/>
      <c r="B15" s="1"/>
      <c r="C15" s="1" t="s">
        <v>313</v>
      </c>
      <c r="D15" s="1">
        <f>+'kardex materiales'!H190</f>
        <v>0.02</v>
      </c>
      <c r="E15" s="1"/>
      <c r="F15" s="1"/>
    </row>
    <row r="16" spans="1:9" x14ac:dyDescent="0.25">
      <c r="A16" s="1"/>
      <c r="B16" s="1" t="s">
        <v>317</v>
      </c>
      <c r="C16" s="1"/>
      <c r="D16" s="1"/>
      <c r="E16" s="1"/>
      <c r="F16" s="1"/>
    </row>
    <row r="17" spans="1:6" x14ac:dyDescent="0.25">
      <c r="A17" s="102">
        <v>42644</v>
      </c>
      <c r="B17" s="475">
        <v>3</v>
      </c>
      <c r="C17" s="475"/>
      <c r="D17" s="1"/>
      <c r="E17" s="1"/>
      <c r="F17" s="1"/>
    </row>
    <row r="18" spans="1:6" x14ac:dyDescent="0.25">
      <c r="A18" s="1"/>
      <c r="B18" s="194" t="s">
        <v>318</v>
      </c>
      <c r="C18" s="194"/>
      <c r="D18" s="194"/>
      <c r="E18" s="195">
        <f>+D20</f>
        <v>1.152389297392173</v>
      </c>
      <c r="F18" s="1"/>
    </row>
    <row r="19" spans="1:6" x14ac:dyDescent="0.25">
      <c r="A19" s="1"/>
      <c r="B19" s="110"/>
      <c r="C19" s="186" t="s">
        <v>294</v>
      </c>
      <c r="D19" s="149"/>
      <c r="E19" s="149"/>
      <c r="F19" s="150">
        <f>+D20</f>
        <v>1.152389297392173</v>
      </c>
    </row>
    <row r="20" spans="1:6" x14ac:dyDescent="0.25">
      <c r="A20" s="1"/>
      <c r="B20" s="110"/>
      <c r="C20" s="1" t="s">
        <v>322</v>
      </c>
      <c r="D20" s="34">
        <f>+'hoja de costos '!Q14</f>
        <v>1.152389297392173</v>
      </c>
      <c r="E20" s="1"/>
      <c r="F20" s="1"/>
    </row>
    <row r="21" spans="1:6" x14ac:dyDescent="0.25">
      <c r="A21" s="1"/>
      <c r="B21" s="110" t="s">
        <v>323</v>
      </c>
      <c r="C21" s="1"/>
      <c r="D21" s="1"/>
      <c r="E21" s="1"/>
      <c r="F21" s="1"/>
    </row>
    <row r="22" spans="1:6" x14ac:dyDescent="0.25">
      <c r="A22" s="102">
        <v>42279</v>
      </c>
      <c r="B22" s="480">
        <v>4</v>
      </c>
      <c r="C22" s="480"/>
      <c r="D22" s="1"/>
      <c r="E22" s="1"/>
      <c r="F22" s="1"/>
    </row>
    <row r="23" spans="1:6" x14ac:dyDescent="0.25">
      <c r="A23" s="1"/>
      <c r="B23" s="196" t="s">
        <v>207</v>
      </c>
      <c r="C23" s="196"/>
      <c r="D23" s="196"/>
      <c r="E23" s="196">
        <v>7.58</v>
      </c>
      <c r="F23" s="1"/>
    </row>
    <row r="24" spans="1:6" x14ac:dyDescent="0.25">
      <c r="A24" s="1"/>
      <c r="B24" s="1"/>
      <c r="C24" s="197" t="s">
        <v>324</v>
      </c>
      <c r="D24" s="197"/>
      <c r="E24" s="197"/>
      <c r="F24" s="197">
        <v>7.58</v>
      </c>
    </row>
    <row r="25" spans="1:6" x14ac:dyDescent="0.25">
      <c r="A25" s="1"/>
      <c r="B25" s="1" t="s">
        <v>325</v>
      </c>
      <c r="C25" s="1"/>
      <c r="D25" s="1"/>
      <c r="E25" s="1"/>
      <c r="F25" s="1"/>
    </row>
    <row r="26" spans="1:6" x14ac:dyDescent="0.25">
      <c r="A26" s="111">
        <v>42648</v>
      </c>
      <c r="B26" s="481">
        <v>5</v>
      </c>
      <c r="C26" s="481"/>
      <c r="D26" s="1"/>
      <c r="E26" s="1"/>
      <c r="F26" s="1"/>
    </row>
    <row r="27" spans="1:6" x14ac:dyDescent="0.25">
      <c r="A27" s="1"/>
      <c r="B27" s="222" t="s">
        <v>245</v>
      </c>
      <c r="C27" s="222"/>
      <c r="D27" s="222"/>
      <c r="E27" s="223">
        <v>631.20000000000005</v>
      </c>
      <c r="F27" s="1"/>
    </row>
    <row r="28" spans="1:6" x14ac:dyDescent="0.25">
      <c r="A28" s="1"/>
      <c r="B28" s="2" t="s">
        <v>206</v>
      </c>
      <c r="C28" s="2"/>
      <c r="D28" s="2"/>
      <c r="E28" s="3">
        <f>+E27*12%</f>
        <v>75.744</v>
      </c>
      <c r="F28" s="2"/>
    </row>
    <row r="29" spans="1:6" x14ac:dyDescent="0.25">
      <c r="A29" s="1"/>
      <c r="B29" s="2"/>
      <c r="C29" s="2" t="s">
        <v>248</v>
      </c>
      <c r="D29" s="2"/>
      <c r="E29" s="2"/>
      <c r="F29" s="3">
        <f>+E27*8%</f>
        <v>50.496000000000002</v>
      </c>
    </row>
    <row r="30" spans="1:6" x14ac:dyDescent="0.25">
      <c r="A30" s="1"/>
      <c r="B30" s="2"/>
      <c r="C30" s="2" t="s">
        <v>247</v>
      </c>
      <c r="D30" s="2"/>
      <c r="E30" s="2"/>
      <c r="F30" s="3">
        <f>+E28</f>
        <v>75.744</v>
      </c>
    </row>
    <row r="31" spans="1:6" x14ac:dyDescent="0.25">
      <c r="A31" s="1"/>
      <c r="B31" s="2"/>
      <c r="C31" s="2" t="s">
        <v>207</v>
      </c>
      <c r="D31" s="2"/>
      <c r="E31" s="2"/>
      <c r="F31" s="3">
        <f>+E27+E28-F29-F30</f>
        <v>580.70400000000006</v>
      </c>
    </row>
    <row r="32" spans="1:6" x14ac:dyDescent="0.25">
      <c r="A32" s="1"/>
      <c r="B32" s="476" t="s">
        <v>299</v>
      </c>
      <c r="C32" s="477"/>
      <c r="D32" s="1"/>
      <c r="E32" s="1"/>
      <c r="F32" s="1"/>
    </row>
    <row r="33" spans="1:6" x14ac:dyDescent="0.25">
      <c r="A33" s="102">
        <v>42283</v>
      </c>
      <c r="B33" s="475">
        <v>6</v>
      </c>
      <c r="C33" s="475"/>
      <c r="D33" s="1"/>
      <c r="E33" s="1"/>
      <c r="F33" s="1"/>
    </row>
    <row r="34" spans="1:6" x14ac:dyDescent="0.25">
      <c r="A34" s="1"/>
      <c r="B34" s="186" t="s">
        <v>294</v>
      </c>
      <c r="C34" s="149"/>
      <c r="D34" s="149"/>
      <c r="E34" s="150">
        <f>+F36</f>
        <v>7.7429999999999999E-2</v>
      </c>
      <c r="F34" s="1"/>
    </row>
    <row r="35" spans="1:6" x14ac:dyDescent="0.25">
      <c r="A35" s="1"/>
      <c r="B35" s="1" t="s">
        <v>327</v>
      </c>
      <c r="C35" s="1"/>
      <c r="D35" s="34">
        <f>+F36</f>
        <v>7.7429999999999999E-2</v>
      </c>
      <c r="E35" s="1"/>
      <c r="F35" s="1"/>
    </row>
    <row r="36" spans="1:6" ht="15.75" x14ac:dyDescent="0.25">
      <c r="A36" s="1"/>
      <c r="B36" s="1"/>
      <c r="C36" s="188" t="s">
        <v>200</v>
      </c>
      <c r="D36" s="68"/>
      <c r="E36" s="68"/>
      <c r="F36" s="69">
        <f>+D37+D38</f>
        <v>7.7429999999999999E-2</v>
      </c>
    </row>
    <row r="37" spans="1:6" ht="15.75" x14ac:dyDescent="0.25">
      <c r="A37" s="1"/>
      <c r="B37" s="1"/>
      <c r="C37" s="37" t="s">
        <v>175</v>
      </c>
      <c r="D37" s="34">
        <f>+'kardex reactivos 3'!H221</f>
        <v>4.7880000000000006E-2</v>
      </c>
      <c r="E37" s="1"/>
      <c r="F37" s="1"/>
    </row>
    <row r="38" spans="1:6" ht="15.75" x14ac:dyDescent="0.25">
      <c r="A38" s="1"/>
      <c r="B38" s="1"/>
      <c r="C38" s="37" t="s">
        <v>241</v>
      </c>
      <c r="D38" s="1">
        <f>+'kardex reactivos 3'!H201</f>
        <v>2.955E-2</v>
      </c>
      <c r="E38" s="1"/>
      <c r="F38" s="1"/>
    </row>
    <row r="39" spans="1:6" x14ac:dyDescent="0.25">
      <c r="A39" s="1"/>
      <c r="B39" s="1" t="s">
        <v>328</v>
      </c>
      <c r="C39" s="1"/>
      <c r="D39" s="1"/>
      <c r="E39" s="1"/>
      <c r="F39" s="1"/>
    </row>
    <row r="40" spans="1:6" x14ac:dyDescent="0.25">
      <c r="A40" s="102">
        <v>42283</v>
      </c>
      <c r="B40" s="475">
        <v>7</v>
      </c>
      <c r="C40" s="475"/>
      <c r="D40" s="1"/>
      <c r="E40" s="1"/>
      <c r="F40" s="1"/>
    </row>
    <row r="41" spans="1:6" x14ac:dyDescent="0.25">
      <c r="A41" s="1"/>
      <c r="B41" s="222" t="s">
        <v>508</v>
      </c>
      <c r="C41" s="222"/>
      <c r="D41" s="222"/>
      <c r="E41" s="223">
        <f>+F42</f>
        <v>0.2374</v>
      </c>
      <c r="F41" s="1"/>
    </row>
    <row r="42" spans="1:6" x14ac:dyDescent="0.25">
      <c r="A42" s="1"/>
      <c r="B42" s="1"/>
      <c r="C42" s="190" t="s">
        <v>204</v>
      </c>
      <c r="D42" s="190"/>
      <c r="E42" s="190"/>
      <c r="F42" s="191">
        <f>+D43+D44+D45+D46</f>
        <v>0.2374</v>
      </c>
    </row>
    <row r="43" spans="1:6" ht="15.75" x14ac:dyDescent="0.25">
      <c r="A43" s="1"/>
      <c r="B43" s="1"/>
      <c r="C43" s="37" t="s">
        <v>33</v>
      </c>
      <c r="D43" s="34">
        <f>+'kardex materiales'!H342</f>
        <v>4.4999999999999998E-2</v>
      </c>
      <c r="E43" s="1"/>
      <c r="F43" s="1"/>
    </row>
    <row r="44" spans="1:6" ht="15.75" x14ac:dyDescent="0.25">
      <c r="A44" s="1"/>
      <c r="B44" s="1"/>
      <c r="C44" s="37" t="s">
        <v>25</v>
      </c>
      <c r="D44" s="34">
        <f>+'kardex materiales'!H228</f>
        <v>8.2400000000000001E-2</v>
      </c>
      <c r="E44" s="1"/>
      <c r="F44" s="1"/>
    </row>
    <row r="45" spans="1:6" ht="15.75" x14ac:dyDescent="0.25">
      <c r="A45" s="1"/>
      <c r="B45" s="1"/>
      <c r="C45" s="37" t="s">
        <v>23</v>
      </c>
      <c r="D45" s="1">
        <f>+'kardex materiales'!H191</f>
        <v>0.02</v>
      </c>
      <c r="E45" s="1"/>
      <c r="F45" s="1"/>
    </row>
    <row r="46" spans="1:6" ht="15.75" x14ac:dyDescent="0.25">
      <c r="A46" s="1"/>
      <c r="B46" s="1"/>
      <c r="C46" s="37" t="s">
        <v>26</v>
      </c>
      <c r="D46" s="1">
        <f>+'kardex materiales'!H249</f>
        <v>0.09</v>
      </c>
      <c r="E46" s="1"/>
      <c r="F46" s="1"/>
    </row>
    <row r="47" spans="1:6" x14ac:dyDescent="0.25">
      <c r="A47" s="1"/>
      <c r="B47" s="1" t="s">
        <v>338</v>
      </c>
      <c r="C47" s="1"/>
      <c r="D47" s="1"/>
      <c r="E47" s="1"/>
      <c r="F47" s="1"/>
    </row>
    <row r="48" spans="1:6" x14ac:dyDescent="0.25">
      <c r="A48" s="102">
        <v>42283</v>
      </c>
      <c r="B48" s="475">
        <v>8</v>
      </c>
      <c r="C48" s="475"/>
      <c r="D48" s="1"/>
      <c r="E48" s="1"/>
      <c r="F48" s="1"/>
    </row>
    <row r="49" spans="1:6" x14ac:dyDescent="0.25">
      <c r="A49" s="1"/>
      <c r="B49" s="198" t="s">
        <v>318</v>
      </c>
      <c r="C49" s="198"/>
      <c r="D49" s="198"/>
      <c r="E49" s="199">
        <f>+D51</f>
        <v>1.8380528758274766</v>
      </c>
      <c r="F49" s="1"/>
    </row>
    <row r="50" spans="1:6" x14ac:dyDescent="0.25">
      <c r="A50" s="1"/>
      <c r="B50" s="110"/>
      <c r="C50" s="186" t="s">
        <v>294</v>
      </c>
      <c r="D50" s="149"/>
      <c r="E50" s="149"/>
      <c r="F50" s="150">
        <f>+D51</f>
        <v>1.8380528758274766</v>
      </c>
    </row>
    <row r="51" spans="1:6" x14ac:dyDescent="0.25">
      <c r="A51" s="1"/>
      <c r="B51" s="110"/>
      <c r="C51" s="1" t="s">
        <v>327</v>
      </c>
      <c r="D51" s="34">
        <f>+'hoja de costos '!Q28</f>
        <v>1.8380528758274766</v>
      </c>
      <c r="E51" s="1"/>
      <c r="F51" s="1"/>
    </row>
    <row r="52" spans="1:6" x14ac:dyDescent="0.25">
      <c r="A52" s="1"/>
      <c r="B52" s="110" t="s">
        <v>329</v>
      </c>
      <c r="C52" s="1"/>
      <c r="D52" s="1"/>
      <c r="E52" s="1"/>
      <c r="F52" s="1"/>
    </row>
    <row r="53" spans="1:6" x14ac:dyDescent="0.25">
      <c r="A53" s="102">
        <v>42284</v>
      </c>
      <c r="B53" s="475">
        <v>9</v>
      </c>
      <c r="C53" s="475"/>
      <c r="D53" s="1"/>
      <c r="E53" s="1"/>
      <c r="F53" s="1"/>
    </row>
    <row r="54" spans="1:6" x14ac:dyDescent="0.25">
      <c r="A54" s="1"/>
      <c r="B54" s="196" t="s">
        <v>207</v>
      </c>
      <c r="C54" s="196"/>
      <c r="D54" s="196"/>
      <c r="E54" s="196">
        <v>3.64</v>
      </c>
      <c r="F54" s="1"/>
    </row>
    <row r="55" spans="1:6" x14ac:dyDescent="0.25">
      <c r="A55" s="1"/>
      <c r="B55" s="1"/>
      <c r="C55" s="197" t="s">
        <v>324</v>
      </c>
      <c r="D55" s="197"/>
      <c r="E55" s="197"/>
      <c r="F55" s="197">
        <v>3.64</v>
      </c>
    </row>
    <row r="56" spans="1:6" x14ac:dyDescent="0.25">
      <c r="A56" s="1"/>
      <c r="B56" s="1" t="s">
        <v>325</v>
      </c>
      <c r="C56" s="1"/>
      <c r="D56" s="1"/>
      <c r="E56" s="1"/>
      <c r="F56" s="1"/>
    </row>
    <row r="57" spans="1:6" x14ac:dyDescent="0.25">
      <c r="A57" s="102">
        <v>42284</v>
      </c>
      <c r="B57" s="475">
        <v>10</v>
      </c>
      <c r="C57" s="475"/>
      <c r="D57" s="1"/>
      <c r="E57" s="1"/>
      <c r="F57" s="1"/>
    </row>
    <row r="58" spans="1:6" x14ac:dyDescent="0.25">
      <c r="A58" s="1"/>
      <c r="B58" s="186" t="s">
        <v>294</v>
      </c>
      <c r="C58" s="149"/>
      <c r="D58" s="149"/>
      <c r="E58" s="150">
        <f>+D59</f>
        <v>0.45873333333333338</v>
      </c>
      <c r="F58" s="1"/>
    </row>
    <row r="59" spans="1:6" x14ac:dyDescent="0.25">
      <c r="A59" s="1"/>
      <c r="B59" s="1" t="s">
        <v>331</v>
      </c>
      <c r="C59" s="1"/>
      <c r="D59" s="34">
        <f>+'hoja de costos '!E46</f>
        <v>0.45873333333333338</v>
      </c>
      <c r="E59" s="1"/>
      <c r="F59" s="1"/>
    </row>
    <row r="60" spans="1:6" ht="15.75" x14ac:dyDescent="0.25">
      <c r="A60" s="1"/>
      <c r="B60" s="1"/>
      <c r="C60" s="188" t="s">
        <v>200</v>
      </c>
      <c r="D60" s="68"/>
      <c r="E60" s="68"/>
      <c r="F60" s="69">
        <f>+D61+D62+D63+D64+D65+D66+D67</f>
        <v>0.45873333333333338</v>
      </c>
    </row>
    <row r="61" spans="1:6" ht="15.75" x14ac:dyDescent="0.25">
      <c r="A61" s="1"/>
      <c r="B61" s="1"/>
      <c r="C61" s="37" t="s">
        <v>86</v>
      </c>
      <c r="D61" s="34">
        <f>+'kardex reactivos 1'!H157</f>
        <v>2.0559999999999998E-2</v>
      </c>
      <c r="E61" s="1"/>
      <c r="F61" s="1"/>
    </row>
    <row r="62" spans="1:6" ht="15.75" x14ac:dyDescent="0.25">
      <c r="A62" s="1"/>
      <c r="B62" s="1"/>
      <c r="C62" s="54" t="s">
        <v>159</v>
      </c>
      <c r="D62" s="34">
        <f>+'kardex reactivos 3'!H23</f>
        <v>6.7500000000000004E-2</v>
      </c>
      <c r="E62" s="1"/>
      <c r="F62" s="1"/>
    </row>
    <row r="63" spans="1:6" ht="15.75" x14ac:dyDescent="0.25">
      <c r="A63" s="1"/>
      <c r="B63" s="1"/>
      <c r="C63" s="37" t="s">
        <v>229</v>
      </c>
      <c r="D63" s="34">
        <f>+'kardex reactivos 1'!H192</f>
        <v>6.8000000000000005E-2</v>
      </c>
      <c r="E63" s="1"/>
      <c r="F63" s="1"/>
    </row>
    <row r="64" spans="1:6" ht="15.75" x14ac:dyDescent="0.25">
      <c r="A64" s="1"/>
      <c r="B64" s="1"/>
      <c r="C64" s="54" t="s">
        <v>230</v>
      </c>
      <c r="D64" s="34">
        <f>+'kardex reactivos 1'!H215</f>
        <v>6.8000000000000005E-2</v>
      </c>
      <c r="E64" s="1"/>
      <c r="F64" s="1"/>
    </row>
    <row r="65" spans="1:6" ht="15.75" x14ac:dyDescent="0.25">
      <c r="A65" s="1"/>
      <c r="B65" s="1"/>
      <c r="C65" s="54" t="s">
        <v>165</v>
      </c>
      <c r="D65" s="34">
        <f>+'kardex reactivos 3'!H89</f>
        <v>0.10680000000000001</v>
      </c>
      <c r="E65" s="1"/>
      <c r="F65" s="1"/>
    </row>
    <row r="66" spans="1:6" ht="15.75" x14ac:dyDescent="0.25">
      <c r="A66" s="1"/>
      <c r="B66" s="1"/>
      <c r="C66" s="54" t="s">
        <v>167</v>
      </c>
      <c r="D66" s="34">
        <f>+'kardex reactivos 3'!H104</f>
        <v>0.10680000000000001</v>
      </c>
      <c r="E66" s="1"/>
      <c r="F66" s="1"/>
    </row>
    <row r="67" spans="1:6" ht="15.75" x14ac:dyDescent="0.25">
      <c r="A67" s="1"/>
      <c r="B67" s="1"/>
      <c r="C67" s="37" t="s">
        <v>93</v>
      </c>
      <c r="D67" s="34">
        <f>+'kardex reactivos 1'!H265</f>
        <v>2.1073333333333333E-2</v>
      </c>
      <c r="E67" s="1"/>
      <c r="F67" s="1"/>
    </row>
    <row r="68" spans="1:6" x14ac:dyDescent="0.25">
      <c r="A68" s="1"/>
      <c r="B68" s="474" t="s">
        <v>332</v>
      </c>
      <c r="C68" s="474"/>
      <c r="D68" s="34"/>
      <c r="E68" s="1"/>
      <c r="F68" s="1"/>
    </row>
    <row r="69" spans="1:6" x14ac:dyDescent="0.25">
      <c r="A69" s="102">
        <v>42284</v>
      </c>
      <c r="B69" s="472">
        <v>11</v>
      </c>
      <c r="C69" s="473"/>
      <c r="D69" s="1"/>
      <c r="E69" s="1"/>
      <c r="F69" s="1"/>
    </row>
    <row r="70" spans="1:6" x14ac:dyDescent="0.25">
      <c r="A70" s="1"/>
      <c r="B70" s="222" t="s">
        <v>508</v>
      </c>
      <c r="C70" s="222"/>
      <c r="D70" s="222"/>
      <c r="E70" s="223">
        <f>+F71</f>
        <v>0.2162</v>
      </c>
      <c r="F70" s="1"/>
    </row>
    <row r="71" spans="1:6" x14ac:dyDescent="0.25">
      <c r="A71" s="1"/>
      <c r="B71" s="1"/>
      <c r="C71" s="190" t="s">
        <v>204</v>
      </c>
      <c r="D71" s="190"/>
      <c r="E71" s="190"/>
      <c r="F71" s="191">
        <f>+D72+D73+D74+D75+D76+D77</f>
        <v>0.2162</v>
      </c>
    </row>
    <row r="72" spans="1:6" ht="15.75" x14ac:dyDescent="0.25">
      <c r="A72" s="1"/>
      <c r="B72" s="1"/>
      <c r="C72" s="37" t="s">
        <v>311</v>
      </c>
      <c r="D72" s="34">
        <f>+'kardex materiales'!H55</f>
        <v>4.2999999999999997E-2</v>
      </c>
      <c r="E72" s="1"/>
      <c r="F72" s="1"/>
    </row>
    <row r="73" spans="1:6" ht="15.75" x14ac:dyDescent="0.25">
      <c r="A73" s="1"/>
      <c r="B73" s="1"/>
      <c r="C73" s="37" t="s">
        <v>315</v>
      </c>
      <c r="D73" s="34">
        <f>+'kardex materiales'!H93</f>
        <v>2.4E-2</v>
      </c>
      <c r="E73" s="1"/>
      <c r="F73" s="1"/>
    </row>
    <row r="74" spans="1:6" ht="15.75" x14ac:dyDescent="0.25">
      <c r="A74" s="1"/>
      <c r="B74" s="1"/>
      <c r="C74" s="37" t="s">
        <v>312</v>
      </c>
      <c r="D74" s="34">
        <f>+'kardex materiales'!H371</f>
        <v>3.0999999999999996E-2</v>
      </c>
      <c r="E74" s="1"/>
      <c r="F74" s="1"/>
    </row>
    <row r="75" spans="1:6" ht="15.75" x14ac:dyDescent="0.25">
      <c r="A75" s="1"/>
      <c r="B75" s="1"/>
      <c r="C75" s="37" t="s">
        <v>205</v>
      </c>
      <c r="D75" s="34">
        <f>+'kardex materiales'!H36</f>
        <v>5.2200000000000003E-2</v>
      </c>
      <c r="E75" s="1"/>
      <c r="F75" s="1"/>
    </row>
    <row r="76" spans="1:6" ht="15.75" x14ac:dyDescent="0.25">
      <c r="A76" s="1"/>
      <c r="B76" s="1"/>
      <c r="C76" s="37" t="s">
        <v>20</v>
      </c>
      <c r="D76" s="34">
        <f>+'kardex materiales'!H143</f>
        <v>3.6000000000000004E-2</v>
      </c>
      <c r="E76" s="1"/>
      <c r="F76" s="1"/>
    </row>
    <row r="77" spans="1:6" ht="15.75" x14ac:dyDescent="0.25">
      <c r="A77" s="1"/>
      <c r="B77" s="1"/>
      <c r="C77" s="37" t="s">
        <v>17</v>
      </c>
      <c r="D77" s="34">
        <f>+'kardex materiales'!H73</f>
        <v>0.03</v>
      </c>
      <c r="E77" s="1"/>
      <c r="F77" s="1"/>
    </row>
    <row r="78" spans="1:6" x14ac:dyDescent="0.25">
      <c r="A78" s="1"/>
      <c r="B78" s="1" t="s">
        <v>340</v>
      </c>
      <c r="C78" s="1"/>
      <c r="D78" s="1"/>
      <c r="E78" s="1"/>
      <c r="F78" s="1"/>
    </row>
    <row r="79" spans="1:6" x14ac:dyDescent="0.25">
      <c r="A79" s="102">
        <v>42285</v>
      </c>
      <c r="B79" s="475">
        <v>12</v>
      </c>
      <c r="C79" s="475"/>
      <c r="D79" s="1"/>
      <c r="E79" s="1"/>
      <c r="F79" s="1"/>
    </row>
    <row r="80" spans="1:6" x14ac:dyDescent="0.25">
      <c r="A80" s="1"/>
      <c r="B80" s="194" t="s">
        <v>318</v>
      </c>
      <c r="C80" s="194"/>
      <c r="D80" s="194"/>
      <c r="E80" s="195">
        <f>+D82</f>
        <v>4.2000569444667217</v>
      </c>
      <c r="F80" s="1"/>
    </row>
    <row r="81" spans="1:6" x14ac:dyDescent="0.25">
      <c r="A81" s="1"/>
      <c r="B81" s="110"/>
      <c r="C81" s="186" t="s">
        <v>294</v>
      </c>
      <c r="D81" s="149"/>
      <c r="E81" s="149"/>
      <c r="F81" s="150">
        <f>+D82</f>
        <v>4.2000569444667217</v>
      </c>
    </row>
    <row r="82" spans="1:6" x14ac:dyDescent="0.25">
      <c r="A82" s="1"/>
      <c r="B82" s="110"/>
      <c r="C82" s="1" t="s">
        <v>331</v>
      </c>
      <c r="D82" s="34">
        <f>+'hoja de costos '!Q42</f>
        <v>4.2000569444667217</v>
      </c>
      <c r="E82" s="1"/>
      <c r="F82" s="1"/>
    </row>
    <row r="83" spans="1:6" x14ac:dyDescent="0.25">
      <c r="A83" s="1"/>
      <c r="B83" s="110" t="s">
        <v>339</v>
      </c>
      <c r="C83" s="1"/>
      <c r="D83" s="1"/>
      <c r="E83" s="1"/>
      <c r="F83" s="1"/>
    </row>
    <row r="84" spans="1:6" x14ac:dyDescent="0.25">
      <c r="A84" s="102">
        <v>42285</v>
      </c>
      <c r="B84" s="475">
        <v>13</v>
      </c>
      <c r="C84" s="475"/>
      <c r="D84" s="1"/>
      <c r="E84" s="1"/>
      <c r="F84" s="1"/>
    </row>
    <row r="85" spans="1:6" x14ac:dyDescent="0.25">
      <c r="A85" s="1"/>
      <c r="B85" s="196" t="s">
        <v>207</v>
      </c>
      <c r="C85" s="196"/>
      <c r="D85" s="196"/>
      <c r="E85" s="196">
        <v>9.33</v>
      </c>
      <c r="F85" s="1"/>
    </row>
    <row r="86" spans="1:6" x14ac:dyDescent="0.25">
      <c r="A86" s="1"/>
      <c r="B86" s="1"/>
      <c r="C86" s="197" t="s">
        <v>324</v>
      </c>
      <c r="D86" s="197"/>
      <c r="E86" s="197"/>
      <c r="F86" s="197">
        <v>9.33</v>
      </c>
    </row>
    <row r="87" spans="1:6" x14ac:dyDescent="0.25">
      <c r="A87" s="1"/>
      <c r="B87" s="1" t="s">
        <v>325</v>
      </c>
      <c r="C87" s="1"/>
      <c r="D87" s="1"/>
      <c r="E87" s="1"/>
      <c r="F87" s="1"/>
    </row>
    <row r="88" spans="1:6" x14ac:dyDescent="0.25">
      <c r="A88" s="102">
        <v>42286</v>
      </c>
      <c r="B88" s="475">
        <v>14</v>
      </c>
      <c r="C88" s="475"/>
      <c r="D88" s="1"/>
      <c r="E88" s="1"/>
      <c r="F88" s="1"/>
    </row>
    <row r="89" spans="1:6" x14ac:dyDescent="0.25">
      <c r="A89" s="1"/>
      <c r="B89" s="222" t="s">
        <v>245</v>
      </c>
      <c r="C89" s="222"/>
      <c r="D89" s="224"/>
      <c r="E89" s="222">
        <v>75</v>
      </c>
      <c r="F89" s="1"/>
    </row>
    <row r="90" spans="1:6" x14ac:dyDescent="0.25">
      <c r="A90" s="1"/>
      <c r="B90" s="287" t="s">
        <v>206</v>
      </c>
      <c r="C90" s="287"/>
      <c r="D90" s="290"/>
      <c r="E90" s="287">
        <f>+E89*12%</f>
        <v>9</v>
      </c>
      <c r="F90" s="2"/>
    </row>
    <row r="91" spans="1:6" x14ac:dyDescent="0.25">
      <c r="A91" s="1"/>
      <c r="B91" s="2"/>
      <c r="C91" s="291" t="s">
        <v>246</v>
      </c>
      <c r="D91" s="292"/>
      <c r="E91" s="291"/>
      <c r="F91" s="291">
        <f>+E89*2%</f>
        <v>1.5</v>
      </c>
    </row>
    <row r="92" spans="1:6" x14ac:dyDescent="0.25">
      <c r="A92" s="1"/>
      <c r="B92" s="2"/>
      <c r="C92" s="68" t="s">
        <v>207</v>
      </c>
      <c r="D92" s="286"/>
      <c r="E92" s="68"/>
      <c r="F92" s="68">
        <f>+E89+E90-F91</f>
        <v>82.5</v>
      </c>
    </row>
    <row r="93" spans="1:6" x14ac:dyDescent="0.25">
      <c r="A93" s="1"/>
      <c r="B93" s="474" t="s">
        <v>300</v>
      </c>
      <c r="C93" s="474"/>
      <c r="D93" s="73"/>
      <c r="E93" s="1"/>
      <c r="F93" s="1"/>
    </row>
    <row r="94" spans="1:6" x14ac:dyDescent="0.25">
      <c r="A94" s="102">
        <v>42287</v>
      </c>
      <c r="B94" s="475">
        <v>15</v>
      </c>
      <c r="C94" s="475"/>
      <c r="D94" s="1"/>
      <c r="E94" s="1"/>
      <c r="F94" s="1"/>
    </row>
    <row r="95" spans="1:6" x14ac:dyDescent="0.25">
      <c r="A95" s="1"/>
      <c r="B95" s="222" t="s">
        <v>245</v>
      </c>
      <c r="C95" s="222"/>
      <c r="D95" s="224"/>
      <c r="E95" s="222">
        <f>+D96+D97+D98</f>
        <v>156.72</v>
      </c>
      <c r="F95" s="1"/>
    </row>
    <row r="96" spans="1:6" x14ac:dyDescent="0.25">
      <c r="A96" s="1"/>
      <c r="B96" s="1" t="s">
        <v>249</v>
      </c>
      <c r="C96" s="1"/>
      <c r="D96" s="73">
        <v>98</v>
      </c>
      <c r="E96" s="1"/>
      <c r="F96" s="1"/>
    </row>
    <row r="97" spans="1:6" x14ac:dyDescent="0.25">
      <c r="A97" s="1"/>
      <c r="B97" s="1" t="s">
        <v>250</v>
      </c>
      <c r="C97" s="1"/>
      <c r="D97" s="73">
        <v>19</v>
      </c>
      <c r="E97" s="1"/>
      <c r="F97" s="1"/>
    </row>
    <row r="98" spans="1:6" x14ac:dyDescent="0.25">
      <c r="A98" s="1"/>
      <c r="B98" s="1" t="s">
        <v>251</v>
      </c>
      <c r="C98" s="1"/>
      <c r="D98" s="73">
        <v>39.72</v>
      </c>
      <c r="E98" s="1"/>
      <c r="F98" s="1"/>
    </row>
    <row r="99" spans="1:6" x14ac:dyDescent="0.25">
      <c r="A99" s="1"/>
      <c r="B99" s="287" t="s">
        <v>206</v>
      </c>
      <c r="C99" s="287"/>
      <c r="D99" s="288"/>
      <c r="E99" s="289">
        <f>+D98*12%</f>
        <v>4.7664</v>
      </c>
      <c r="F99" s="2"/>
    </row>
    <row r="100" spans="1:6" x14ac:dyDescent="0.25">
      <c r="A100" s="1"/>
      <c r="B100" s="2"/>
      <c r="C100" s="68" t="s">
        <v>207</v>
      </c>
      <c r="D100" s="286"/>
      <c r="E100" s="68"/>
      <c r="F100" s="69">
        <f>+E95+E99</f>
        <v>161.4864</v>
      </c>
    </row>
    <row r="101" spans="1:6" x14ac:dyDescent="0.25">
      <c r="A101" s="1"/>
      <c r="B101" s="1" t="s">
        <v>337</v>
      </c>
      <c r="C101" s="1"/>
      <c r="D101" s="1"/>
      <c r="E101" s="1"/>
      <c r="F101" s="1"/>
    </row>
    <row r="102" spans="1:6" x14ac:dyDescent="0.25">
      <c r="A102" s="102">
        <v>42289</v>
      </c>
      <c r="B102" s="475">
        <v>16</v>
      </c>
      <c r="C102" s="475"/>
      <c r="D102" s="1"/>
      <c r="E102" s="1"/>
      <c r="F102" s="1"/>
    </row>
    <row r="103" spans="1:6" x14ac:dyDescent="0.25">
      <c r="A103" s="1"/>
      <c r="B103" s="186" t="s">
        <v>294</v>
      </c>
      <c r="C103" s="149"/>
      <c r="D103" s="149"/>
      <c r="E103" s="150">
        <f>+D104</f>
        <v>0.37374333333333332</v>
      </c>
      <c r="F103" s="1"/>
    </row>
    <row r="104" spans="1:6" x14ac:dyDescent="0.25">
      <c r="A104" s="1"/>
      <c r="B104" s="1" t="s">
        <v>335</v>
      </c>
      <c r="C104" s="1"/>
      <c r="D104" s="34">
        <f>+'hoja de costos '!E64</f>
        <v>0.37374333333333332</v>
      </c>
      <c r="E104" s="34"/>
      <c r="F104" s="1"/>
    </row>
    <row r="105" spans="1:6" ht="15.75" x14ac:dyDescent="0.25">
      <c r="A105" s="1"/>
      <c r="B105" s="1"/>
      <c r="C105" s="188" t="s">
        <v>200</v>
      </c>
      <c r="D105" s="68"/>
      <c r="E105" s="68"/>
      <c r="F105" s="69">
        <f>+D106+D108+D107+D109+D110+D111+D112+D113</f>
        <v>0.37374333333333332</v>
      </c>
    </row>
    <row r="106" spans="1:6" ht="15.75" x14ac:dyDescent="0.25">
      <c r="A106" s="1"/>
      <c r="B106" s="1"/>
      <c r="C106" s="37" t="s">
        <v>136</v>
      </c>
      <c r="D106" s="34">
        <f>+'hoja de costos '!E56</f>
        <v>4.4999999999999998E-2</v>
      </c>
      <c r="E106" s="1"/>
      <c r="F106" s="1"/>
    </row>
    <row r="107" spans="1:6" ht="15.75" x14ac:dyDescent="0.25">
      <c r="A107" s="1"/>
      <c r="B107" s="1"/>
      <c r="C107" s="37" t="s">
        <v>138</v>
      </c>
      <c r="D107" s="34">
        <f>+'hoja de costos '!E57</f>
        <v>6.2E-2</v>
      </c>
      <c r="E107" s="1"/>
      <c r="F107" s="1"/>
    </row>
    <row r="108" spans="1:6" ht="15.75" x14ac:dyDescent="0.25">
      <c r="A108" s="1"/>
      <c r="B108" s="1"/>
      <c r="C108" s="37" t="s">
        <v>139</v>
      </c>
      <c r="D108" s="34">
        <f>+'hoja de costos '!E58</f>
        <v>4.931E-2</v>
      </c>
      <c r="E108" s="1"/>
      <c r="F108" s="1"/>
    </row>
    <row r="109" spans="1:6" ht="15.75" x14ac:dyDescent="0.25">
      <c r="A109" s="1"/>
      <c r="B109" s="1"/>
      <c r="C109" s="37" t="s">
        <v>140</v>
      </c>
      <c r="D109" s="34">
        <f>+'hoja de costos '!E59</f>
        <v>6.5000000000000002E-2</v>
      </c>
      <c r="E109" s="1"/>
      <c r="F109" s="1"/>
    </row>
    <row r="110" spans="1:6" ht="15.75" x14ac:dyDescent="0.25">
      <c r="A110" s="1"/>
      <c r="B110" s="1"/>
      <c r="C110" s="37" t="s">
        <v>141</v>
      </c>
      <c r="D110" s="34">
        <f>+'hoja de costos '!E60</f>
        <v>3.9E-2</v>
      </c>
      <c r="E110" s="1"/>
      <c r="F110" s="1"/>
    </row>
    <row r="111" spans="1:6" ht="15.75" x14ac:dyDescent="0.25">
      <c r="A111" s="1"/>
      <c r="B111" s="1"/>
      <c r="C111" s="37" t="s">
        <v>142</v>
      </c>
      <c r="D111" s="34">
        <f>+'hoja de costos '!E61</f>
        <v>5.5E-2</v>
      </c>
      <c r="E111" s="1"/>
      <c r="F111" s="1"/>
    </row>
    <row r="112" spans="1:6" ht="15.75" x14ac:dyDescent="0.25">
      <c r="A112" s="1"/>
      <c r="B112" s="1"/>
      <c r="C112" s="37" t="s">
        <v>143</v>
      </c>
      <c r="D112" s="34">
        <f>+'hoja de costos '!E62</f>
        <v>3.7359999999999997E-2</v>
      </c>
      <c r="E112" s="1"/>
      <c r="F112" s="1"/>
    </row>
    <row r="113" spans="1:6" ht="15.75" x14ac:dyDescent="0.25">
      <c r="A113" s="1"/>
      <c r="B113" s="1"/>
      <c r="C113" s="37" t="s">
        <v>238</v>
      </c>
      <c r="D113" s="34">
        <f>+'hoja de costos '!E63</f>
        <v>2.1073333333333333E-2</v>
      </c>
      <c r="E113" s="1"/>
      <c r="F113" s="1"/>
    </row>
    <row r="114" spans="1:6" x14ac:dyDescent="0.25">
      <c r="A114" s="1"/>
      <c r="B114" s="474" t="s">
        <v>336</v>
      </c>
      <c r="C114" s="474"/>
      <c r="D114" s="1"/>
      <c r="E114" s="1"/>
      <c r="F114" s="1"/>
    </row>
    <row r="115" spans="1:6" x14ac:dyDescent="0.25">
      <c r="A115" s="102">
        <v>42289</v>
      </c>
      <c r="B115" s="475">
        <v>17</v>
      </c>
      <c r="C115" s="475"/>
      <c r="D115" s="1"/>
      <c r="E115" s="1"/>
      <c r="F115" s="1"/>
    </row>
    <row r="116" spans="1:6" x14ac:dyDescent="0.25">
      <c r="A116" s="1"/>
      <c r="B116" s="222" t="s">
        <v>295</v>
      </c>
      <c r="C116" s="222"/>
      <c r="D116" s="222"/>
      <c r="E116" s="223">
        <f>+F117</f>
        <v>0.1915</v>
      </c>
      <c r="F116" s="1"/>
    </row>
    <row r="117" spans="1:6" x14ac:dyDescent="0.25">
      <c r="A117" s="1"/>
      <c r="B117" s="1"/>
      <c r="C117" s="190" t="s">
        <v>204</v>
      </c>
      <c r="D117" s="190"/>
      <c r="E117" s="190"/>
      <c r="F117" s="191">
        <f>+D118+D119+D120+D121+D122</f>
        <v>0.1915</v>
      </c>
    </row>
    <row r="118" spans="1:6" ht="15.75" x14ac:dyDescent="0.25">
      <c r="A118" s="1"/>
      <c r="B118" s="1"/>
      <c r="C118" s="37" t="s">
        <v>311</v>
      </c>
      <c r="D118" s="34">
        <f>+'kardex materiales'!H56</f>
        <v>4.2999999999999997E-2</v>
      </c>
      <c r="E118" s="1"/>
      <c r="F118" s="1"/>
    </row>
    <row r="119" spans="1:6" ht="15.75" x14ac:dyDescent="0.25">
      <c r="A119" s="1"/>
      <c r="B119" s="1"/>
      <c r="C119" s="37" t="s">
        <v>315</v>
      </c>
      <c r="D119" s="34">
        <f>+'kardex materiales'!H94</f>
        <v>2.4E-2</v>
      </c>
      <c r="E119" s="1"/>
      <c r="F119" s="1"/>
    </row>
    <row r="120" spans="1:6" ht="15.75" x14ac:dyDescent="0.25">
      <c r="A120" s="1"/>
      <c r="B120" s="1"/>
      <c r="C120" s="37" t="s">
        <v>312</v>
      </c>
      <c r="D120" s="34">
        <f>+'kardex materiales'!H372</f>
        <v>3.0999999999999996E-2</v>
      </c>
      <c r="E120" s="1"/>
      <c r="F120" s="1"/>
    </row>
    <row r="121" spans="1:6" ht="15.75" x14ac:dyDescent="0.25">
      <c r="A121" s="1"/>
      <c r="B121" s="1"/>
      <c r="C121" s="37" t="s">
        <v>316</v>
      </c>
      <c r="D121" s="34">
        <f>+'kardex materiales'!H266</f>
        <v>6.3500000000000001E-2</v>
      </c>
      <c r="E121" s="1"/>
      <c r="F121" s="1"/>
    </row>
    <row r="122" spans="1:6" ht="15.75" x14ac:dyDescent="0.25">
      <c r="A122" s="1"/>
      <c r="B122" s="1"/>
      <c r="C122" s="37" t="s">
        <v>17</v>
      </c>
      <c r="D122" s="34">
        <f>+'kardex materiales'!H74</f>
        <v>0.03</v>
      </c>
      <c r="E122" s="1"/>
      <c r="F122" s="1"/>
    </row>
    <row r="123" spans="1:6" x14ac:dyDescent="0.25">
      <c r="A123" s="1"/>
      <c r="B123" s="476" t="s">
        <v>341</v>
      </c>
      <c r="C123" s="477"/>
      <c r="D123" s="1"/>
      <c r="E123" s="1"/>
      <c r="F123" s="1"/>
    </row>
    <row r="124" spans="1:6" x14ac:dyDescent="0.25">
      <c r="A124" s="102">
        <v>42290</v>
      </c>
      <c r="B124" s="475">
        <v>18</v>
      </c>
      <c r="C124" s="475"/>
      <c r="D124" s="1"/>
      <c r="E124" s="1"/>
      <c r="F124" s="1"/>
    </row>
    <row r="125" spans="1:6" x14ac:dyDescent="0.25">
      <c r="A125" s="1"/>
      <c r="B125" s="194" t="s">
        <v>318</v>
      </c>
      <c r="C125" s="194"/>
      <c r="D125" s="194"/>
      <c r="E125" s="195">
        <f>+F126</f>
        <v>3.6749112255098524</v>
      </c>
      <c r="F125" s="1"/>
    </row>
    <row r="126" spans="1:6" x14ac:dyDescent="0.25">
      <c r="A126" s="1"/>
      <c r="B126" s="110"/>
      <c r="C126" s="186" t="s">
        <v>294</v>
      </c>
      <c r="D126" s="149"/>
      <c r="E126" s="149"/>
      <c r="F126" s="150">
        <f>+D127</f>
        <v>3.6749112255098524</v>
      </c>
    </row>
    <row r="127" spans="1:6" x14ac:dyDescent="0.25">
      <c r="A127" s="1"/>
      <c r="B127" s="110"/>
      <c r="C127" s="1" t="s">
        <v>335</v>
      </c>
      <c r="D127" s="34">
        <f>+'hoja de costos '!Q59</f>
        <v>3.6749112255098524</v>
      </c>
      <c r="E127" s="1"/>
      <c r="F127" s="1"/>
    </row>
    <row r="128" spans="1:6" x14ac:dyDescent="0.25">
      <c r="A128" s="1"/>
      <c r="B128" s="110" t="s">
        <v>342</v>
      </c>
      <c r="C128" s="1"/>
      <c r="D128" s="1"/>
      <c r="E128" s="1"/>
      <c r="F128" s="1"/>
    </row>
    <row r="129" spans="1:6" x14ac:dyDescent="0.25">
      <c r="A129" s="102">
        <v>42290</v>
      </c>
      <c r="B129" s="475">
        <v>19</v>
      </c>
      <c r="C129" s="475"/>
      <c r="D129" s="1"/>
      <c r="E129" s="1"/>
      <c r="F129" s="1"/>
    </row>
    <row r="130" spans="1:6" x14ac:dyDescent="0.25">
      <c r="A130" s="1"/>
      <c r="B130" s="196" t="s">
        <v>207</v>
      </c>
      <c r="C130" s="196"/>
      <c r="D130" s="196"/>
      <c r="E130" s="196">
        <v>9.89</v>
      </c>
      <c r="F130" s="1"/>
    </row>
    <row r="131" spans="1:6" x14ac:dyDescent="0.25">
      <c r="A131" s="1"/>
      <c r="B131" s="1"/>
      <c r="C131" s="200" t="s">
        <v>324</v>
      </c>
      <c r="D131" s="200"/>
      <c r="E131" s="200"/>
      <c r="F131" s="200">
        <v>9.89</v>
      </c>
    </row>
    <row r="132" spans="1:6" x14ac:dyDescent="0.25">
      <c r="A132" s="1"/>
      <c r="B132" s="1" t="s">
        <v>325</v>
      </c>
      <c r="C132" s="1"/>
      <c r="D132" s="1"/>
      <c r="E132" s="1"/>
      <c r="F132" s="1"/>
    </row>
    <row r="133" spans="1:6" x14ac:dyDescent="0.25">
      <c r="A133" s="102">
        <v>42290</v>
      </c>
      <c r="B133" s="472">
        <v>20</v>
      </c>
      <c r="C133" s="473"/>
      <c r="D133" s="1"/>
      <c r="E133" s="1"/>
      <c r="F133" s="1"/>
    </row>
    <row r="134" spans="1:6" x14ac:dyDescent="0.25">
      <c r="A134" s="1"/>
      <c r="B134" s="186" t="s">
        <v>294</v>
      </c>
      <c r="C134" s="149"/>
      <c r="D134" s="149"/>
      <c r="E134" s="150">
        <f>+D135</f>
        <v>0.47275833333333339</v>
      </c>
      <c r="F134" s="1"/>
    </row>
    <row r="135" spans="1:6" x14ac:dyDescent="0.25">
      <c r="A135" s="1"/>
      <c r="B135" s="1" t="s">
        <v>346</v>
      </c>
      <c r="C135" s="1"/>
      <c r="D135" s="34">
        <f>+'hoja de costos '!E81</f>
        <v>0.47275833333333339</v>
      </c>
      <c r="E135" s="34"/>
      <c r="F135" s="1"/>
    </row>
    <row r="136" spans="1:6" ht="15.75" x14ac:dyDescent="0.25">
      <c r="A136" s="1"/>
      <c r="B136" s="1"/>
      <c r="C136" s="188" t="s">
        <v>200</v>
      </c>
      <c r="D136" s="68"/>
      <c r="E136" s="68"/>
      <c r="F136" s="69">
        <f>+D137+D138+D139+D140+D142+D141+D143</f>
        <v>0.47275833333333339</v>
      </c>
    </row>
    <row r="137" spans="1:6" ht="15.75" x14ac:dyDescent="0.25">
      <c r="A137" s="1"/>
      <c r="B137" s="1"/>
      <c r="C137" s="37" t="s">
        <v>86</v>
      </c>
      <c r="D137" s="34">
        <f>+'hoja de costos '!E74</f>
        <v>2.0559999999999998E-2</v>
      </c>
      <c r="E137" s="1"/>
      <c r="F137" s="1"/>
    </row>
    <row r="138" spans="1:6" ht="15.75" x14ac:dyDescent="0.25">
      <c r="A138" s="1"/>
      <c r="B138" s="1"/>
      <c r="C138" s="37" t="s">
        <v>229</v>
      </c>
      <c r="D138" s="34">
        <f>+'hoja de costos '!E75</f>
        <v>6.8000000000000005E-2</v>
      </c>
      <c r="E138" s="1"/>
      <c r="F138" s="1"/>
    </row>
    <row r="139" spans="1:6" ht="15.75" x14ac:dyDescent="0.25">
      <c r="A139" s="1"/>
      <c r="B139" s="1"/>
      <c r="C139" s="54" t="s">
        <v>230</v>
      </c>
      <c r="D139" s="34">
        <f>+'hoja de costos '!E76</f>
        <v>6.8000000000000005E-2</v>
      </c>
      <c r="E139" s="1"/>
      <c r="F139" s="1"/>
    </row>
    <row r="140" spans="1:6" ht="15.75" x14ac:dyDescent="0.25">
      <c r="A140" s="1"/>
      <c r="B140" s="1"/>
      <c r="C140" s="37" t="s">
        <v>147</v>
      </c>
      <c r="D140" s="34">
        <f>+'hoja de costos '!E77</f>
        <v>4.9815000000000005E-2</v>
      </c>
      <c r="E140" s="1"/>
      <c r="F140" s="1"/>
    </row>
    <row r="141" spans="1:6" ht="15.75" x14ac:dyDescent="0.25">
      <c r="A141" s="1"/>
      <c r="B141" s="1"/>
      <c r="C141" s="54" t="s">
        <v>148</v>
      </c>
      <c r="D141" s="34">
        <f>+'hoja de costos '!E78</f>
        <v>9.981000000000001E-2</v>
      </c>
      <c r="E141" s="1"/>
      <c r="F141" s="1"/>
    </row>
    <row r="142" spans="1:6" ht="15.75" x14ac:dyDescent="0.25">
      <c r="A142" s="1"/>
      <c r="B142" s="1"/>
      <c r="C142" s="54" t="s">
        <v>149</v>
      </c>
      <c r="D142" s="34">
        <f>+'hoja de costos '!E79</f>
        <v>0.14550000000000002</v>
      </c>
      <c r="E142" s="1"/>
      <c r="F142" s="1"/>
    </row>
    <row r="143" spans="1:6" ht="15.75" x14ac:dyDescent="0.25">
      <c r="A143" s="1"/>
      <c r="B143" s="1"/>
      <c r="C143" s="37" t="s">
        <v>93</v>
      </c>
      <c r="D143" s="34">
        <f>+'hoja de costos '!E80</f>
        <v>2.1073333333333333E-2</v>
      </c>
      <c r="E143" s="1"/>
      <c r="F143" s="1"/>
    </row>
    <row r="144" spans="1:6" x14ac:dyDescent="0.25">
      <c r="A144" s="1"/>
      <c r="B144" s="474" t="s">
        <v>344</v>
      </c>
      <c r="C144" s="474"/>
      <c r="D144" s="1"/>
      <c r="E144" s="1"/>
      <c r="F144" s="1"/>
    </row>
    <row r="145" spans="1:6" x14ac:dyDescent="0.25">
      <c r="A145" s="102">
        <v>42290</v>
      </c>
      <c r="B145" s="475">
        <v>21</v>
      </c>
      <c r="C145" s="475"/>
      <c r="D145" s="1"/>
      <c r="E145" s="1"/>
      <c r="F145" s="1"/>
    </row>
    <row r="146" spans="1:6" x14ac:dyDescent="0.25">
      <c r="A146" s="1"/>
      <c r="B146" s="222" t="s">
        <v>508</v>
      </c>
      <c r="C146" s="222"/>
      <c r="D146" s="222"/>
      <c r="E146" s="223">
        <f>+F147</f>
        <v>0.2162</v>
      </c>
      <c r="F146" s="1"/>
    </row>
    <row r="147" spans="1:6" x14ac:dyDescent="0.25">
      <c r="A147" s="1"/>
      <c r="B147" s="1"/>
      <c r="C147" s="190" t="s">
        <v>204</v>
      </c>
      <c r="D147" s="190"/>
      <c r="E147" s="190"/>
      <c r="F147" s="191">
        <f>+D148+D149+D150+D151+D152+D153</f>
        <v>0.2162</v>
      </c>
    </row>
    <row r="148" spans="1:6" ht="15.75" x14ac:dyDescent="0.25">
      <c r="A148" s="1"/>
      <c r="B148" s="1"/>
      <c r="C148" s="37" t="s">
        <v>311</v>
      </c>
      <c r="D148" s="34">
        <f>+'kardex materiales'!H57</f>
        <v>4.2999999999999997E-2</v>
      </c>
      <c r="E148" s="1"/>
      <c r="F148" s="1"/>
    </row>
    <row r="149" spans="1:6" ht="15.75" x14ac:dyDescent="0.25">
      <c r="A149" s="1"/>
      <c r="B149" s="1"/>
      <c r="C149" s="54" t="s">
        <v>315</v>
      </c>
      <c r="D149" s="34">
        <f>+'kardex materiales'!H95</f>
        <v>2.4E-2</v>
      </c>
      <c r="E149" s="1"/>
      <c r="F149" s="1"/>
    </row>
    <row r="150" spans="1:6" ht="15.75" x14ac:dyDescent="0.25">
      <c r="A150" s="1"/>
      <c r="B150" s="1"/>
      <c r="C150" s="37" t="s">
        <v>312</v>
      </c>
      <c r="D150" s="34">
        <f>+'kardex materiales'!H373</f>
        <v>3.0999999999999996E-2</v>
      </c>
      <c r="E150" s="1"/>
      <c r="F150" s="1"/>
    </row>
    <row r="151" spans="1:6" ht="15.75" x14ac:dyDescent="0.25">
      <c r="A151" s="1"/>
      <c r="B151" s="1"/>
      <c r="C151" s="37" t="s">
        <v>205</v>
      </c>
      <c r="D151" s="34">
        <f>+'kardex materiales'!H37</f>
        <v>5.2200000000000003E-2</v>
      </c>
      <c r="E151" s="1"/>
      <c r="F151" s="1"/>
    </row>
    <row r="152" spans="1:6" ht="15.75" x14ac:dyDescent="0.25">
      <c r="A152" s="1"/>
      <c r="B152" s="1"/>
      <c r="C152" s="54" t="s">
        <v>20</v>
      </c>
      <c r="D152" s="34">
        <f>+'kardex materiales'!H144</f>
        <v>3.6000000000000004E-2</v>
      </c>
      <c r="E152" s="1"/>
      <c r="F152" s="1"/>
    </row>
    <row r="153" spans="1:6" ht="15.75" x14ac:dyDescent="0.25">
      <c r="A153" s="1"/>
      <c r="B153" s="1"/>
      <c r="C153" s="54" t="s">
        <v>17</v>
      </c>
      <c r="D153" s="34">
        <f>+'kardex materiales'!H75</f>
        <v>0.03</v>
      </c>
      <c r="E153" s="1"/>
      <c r="F153" s="1"/>
    </row>
    <row r="154" spans="1:6" x14ac:dyDescent="0.25">
      <c r="A154" s="1"/>
      <c r="B154" s="474" t="s">
        <v>347</v>
      </c>
      <c r="C154" s="474"/>
      <c r="D154" s="1"/>
      <c r="E154" s="1"/>
      <c r="F154" s="1"/>
    </row>
    <row r="155" spans="1:6" x14ac:dyDescent="0.25">
      <c r="A155" s="102">
        <v>42291</v>
      </c>
      <c r="B155" s="472">
        <v>22</v>
      </c>
      <c r="C155" s="473"/>
      <c r="D155" s="1"/>
      <c r="E155" s="1"/>
      <c r="F155" s="1"/>
    </row>
    <row r="156" spans="1:6" x14ac:dyDescent="0.25">
      <c r="A156" s="1"/>
      <c r="B156" s="194" t="s">
        <v>318</v>
      </c>
      <c r="C156" s="194"/>
      <c r="D156" s="194"/>
      <c r="E156" s="195">
        <f>+F157</f>
        <v>8.1754834150785456</v>
      </c>
      <c r="F156" s="1"/>
    </row>
    <row r="157" spans="1:6" x14ac:dyDescent="0.25">
      <c r="A157" s="1"/>
      <c r="B157" s="110"/>
      <c r="C157" s="186" t="s">
        <v>294</v>
      </c>
      <c r="D157" s="149"/>
      <c r="E157" s="149"/>
      <c r="F157" s="150">
        <f>+D158</f>
        <v>8.1754834150785456</v>
      </c>
    </row>
    <row r="158" spans="1:6" x14ac:dyDescent="0.25">
      <c r="A158" s="1"/>
      <c r="B158" s="110"/>
      <c r="C158" s="1" t="s">
        <v>346</v>
      </c>
      <c r="D158" s="34">
        <f>+'hoja de costos '!Q77</f>
        <v>8.1754834150785456</v>
      </c>
      <c r="E158" s="1"/>
      <c r="F158" s="1"/>
    </row>
    <row r="159" spans="1:6" x14ac:dyDescent="0.25">
      <c r="A159" s="1"/>
      <c r="B159" s="110" t="s">
        <v>345</v>
      </c>
      <c r="C159" s="1"/>
      <c r="D159" s="1"/>
      <c r="E159" s="1"/>
      <c r="F159" s="1"/>
    </row>
    <row r="160" spans="1:6" x14ac:dyDescent="0.25">
      <c r="A160" s="1"/>
      <c r="B160" s="475">
        <v>23</v>
      </c>
      <c r="C160" s="475"/>
      <c r="D160" s="1"/>
      <c r="E160" s="1"/>
      <c r="F160" s="1"/>
    </row>
    <row r="161" spans="1:7" x14ac:dyDescent="0.25">
      <c r="A161" s="1"/>
      <c r="B161" s="196" t="s">
        <v>207</v>
      </c>
      <c r="C161" s="196"/>
      <c r="D161" s="196"/>
      <c r="E161" s="196">
        <v>9.33</v>
      </c>
      <c r="F161" s="1"/>
    </row>
    <row r="162" spans="1:7" x14ac:dyDescent="0.25">
      <c r="A162" s="1"/>
      <c r="B162" s="1"/>
      <c r="C162" s="197" t="s">
        <v>324</v>
      </c>
      <c r="D162" s="197"/>
      <c r="E162" s="197"/>
      <c r="F162" s="197">
        <v>9.33</v>
      </c>
    </row>
    <row r="163" spans="1:7" x14ac:dyDescent="0.25">
      <c r="A163" s="1"/>
      <c r="B163" s="1" t="s">
        <v>325</v>
      </c>
      <c r="C163" s="1"/>
      <c r="D163" s="1"/>
      <c r="E163" s="1"/>
      <c r="F163" s="1"/>
    </row>
    <row r="164" spans="1:7" x14ac:dyDescent="0.25">
      <c r="A164" s="1"/>
      <c r="B164" s="472">
        <v>24</v>
      </c>
      <c r="C164" s="473"/>
      <c r="D164" s="1"/>
      <c r="E164" s="1"/>
      <c r="F164" s="1"/>
    </row>
    <row r="165" spans="1:7" x14ac:dyDescent="0.25">
      <c r="A165" s="102">
        <v>42292</v>
      </c>
      <c r="B165" s="284" t="s">
        <v>293</v>
      </c>
      <c r="C165" s="285"/>
      <c r="D165" s="251"/>
      <c r="E165" s="252">
        <v>1180</v>
      </c>
      <c r="F165" s="2"/>
      <c r="G165" s="4"/>
    </row>
    <row r="166" spans="1:7" x14ac:dyDescent="0.25">
      <c r="A166" s="1"/>
      <c r="B166" s="58"/>
      <c r="C166" s="203" t="s">
        <v>207</v>
      </c>
      <c r="D166" s="196"/>
      <c r="E166" s="196"/>
      <c r="F166" s="196">
        <v>1180</v>
      </c>
    </row>
    <row r="167" spans="1:7" x14ac:dyDescent="0.25">
      <c r="A167" s="1"/>
      <c r="B167" s="58" t="s">
        <v>298</v>
      </c>
      <c r="C167" s="73"/>
      <c r="D167" s="1"/>
      <c r="E167" s="1"/>
      <c r="F167" s="1"/>
    </row>
    <row r="168" spans="1:7" x14ac:dyDescent="0.25">
      <c r="A168" s="102">
        <v>42292</v>
      </c>
      <c r="B168" s="475">
        <v>25</v>
      </c>
      <c r="C168" s="475"/>
      <c r="D168" s="1"/>
      <c r="E168" s="1"/>
      <c r="F168" s="1"/>
    </row>
    <row r="169" spans="1:7" x14ac:dyDescent="0.25">
      <c r="A169" s="1"/>
      <c r="B169" s="186" t="s">
        <v>294</v>
      </c>
      <c r="C169" s="149"/>
      <c r="D169" s="149"/>
      <c r="E169" s="150">
        <f>+D170</f>
        <v>5.1999999999999998E-2</v>
      </c>
      <c r="F169" s="1"/>
    </row>
    <row r="170" spans="1:7" x14ac:dyDescent="0.25">
      <c r="A170" s="1"/>
      <c r="B170" s="1" t="s">
        <v>348</v>
      </c>
      <c r="C170" s="1"/>
      <c r="D170" s="34">
        <f>+'hoja de costos '!E97</f>
        <v>5.1999999999999998E-2</v>
      </c>
      <c r="E170" s="1"/>
      <c r="F170" s="1"/>
    </row>
    <row r="171" spans="1:7" ht="15.75" x14ac:dyDescent="0.25">
      <c r="A171" s="1"/>
      <c r="B171" s="1"/>
      <c r="C171" s="188" t="s">
        <v>200</v>
      </c>
      <c r="D171" s="68"/>
      <c r="E171" s="68"/>
      <c r="F171" s="69">
        <f>+D172</f>
        <v>5.1999999999999998E-2</v>
      </c>
    </row>
    <row r="172" spans="1:7" x14ac:dyDescent="0.25">
      <c r="A172" s="1"/>
      <c r="B172" s="1"/>
      <c r="C172" s="114" t="s">
        <v>145</v>
      </c>
      <c r="D172" s="34">
        <f>+'hoja de costos '!E97</f>
        <v>5.1999999999999998E-2</v>
      </c>
      <c r="E172" s="1"/>
      <c r="F172" s="1"/>
    </row>
    <row r="173" spans="1:7" x14ac:dyDescent="0.25">
      <c r="A173" s="1"/>
      <c r="B173" s="474" t="s">
        <v>349</v>
      </c>
      <c r="C173" s="474"/>
      <c r="D173" s="1"/>
      <c r="E173" s="1"/>
      <c r="F173" s="1"/>
    </row>
    <row r="174" spans="1:7" x14ac:dyDescent="0.25">
      <c r="A174" s="102">
        <v>42292</v>
      </c>
      <c r="B174" s="475">
        <v>26</v>
      </c>
      <c r="C174" s="475"/>
      <c r="D174" s="1"/>
      <c r="E174" s="1"/>
      <c r="F174" s="1"/>
    </row>
    <row r="175" spans="1:7" x14ac:dyDescent="0.25">
      <c r="A175" s="1"/>
      <c r="B175" s="222" t="s">
        <v>508</v>
      </c>
      <c r="C175" s="222"/>
      <c r="D175" s="222"/>
      <c r="E175" s="223">
        <f>+F176</f>
        <v>0.129</v>
      </c>
      <c r="F175" s="1"/>
    </row>
    <row r="176" spans="1:7" x14ac:dyDescent="0.25">
      <c r="A176" s="1"/>
      <c r="B176" s="1"/>
      <c r="C176" s="190" t="s">
        <v>204</v>
      </c>
      <c r="D176" s="190"/>
      <c r="E176" s="190"/>
      <c r="F176" s="191">
        <f>+D177+D178+D179+D180</f>
        <v>0.129</v>
      </c>
    </row>
    <row r="177" spans="1:6" x14ac:dyDescent="0.25">
      <c r="A177" s="1"/>
      <c r="B177" s="1"/>
      <c r="C177" s="1" t="s">
        <v>29</v>
      </c>
      <c r="D177" s="34">
        <f>+'kardex materiales'!H281</f>
        <v>8.9999999999999993E-3</v>
      </c>
      <c r="E177" s="1"/>
      <c r="F177" s="1"/>
    </row>
    <row r="178" spans="1:6" x14ac:dyDescent="0.25">
      <c r="A178" s="1"/>
      <c r="B178" s="1"/>
      <c r="C178" s="1" t="s">
        <v>24</v>
      </c>
      <c r="D178" s="1">
        <f>+'kardex materiales'!H212</f>
        <v>0.05</v>
      </c>
      <c r="E178" s="1"/>
      <c r="F178" s="1"/>
    </row>
    <row r="179" spans="1:6" x14ac:dyDescent="0.25">
      <c r="A179" s="1"/>
      <c r="B179" s="1"/>
      <c r="C179" s="1" t="s">
        <v>31</v>
      </c>
      <c r="D179" s="1">
        <f>+'kardex materiales'!H311</f>
        <v>0.05</v>
      </c>
      <c r="E179" s="1"/>
      <c r="F179" s="1"/>
    </row>
    <row r="180" spans="1:6" x14ac:dyDescent="0.25">
      <c r="A180" s="1"/>
      <c r="B180" s="1"/>
      <c r="C180" s="1" t="s">
        <v>313</v>
      </c>
      <c r="D180" s="1">
        <f>+'kardex materiales'!H192</f>
        <v>2.0000000000000004E-2</v>
      </c>
      <c r="E180" s="1"/>
      <c r="F180" s="1"/>
    </row>
    <row r="181" spans="1:6" x14ac:dyDescent="0.25">
      <c r="A181" s="1"/>
      <c r="B181" s="1" t="s">
        <v>371</v>
      </c>
      <c r="C181" s="1"/>
      <c r="D181" s="1"/>
      <c r="E181" s="1"/>
      <c r="F181" s="1"/>
    </row>
    <row r="182" spans="1:6" x14ac:dyDescent="0.25">
      <c r="A182" s="102">
        <v>42293</v>
      </c>
      <c r="B182" s="475">
        <v>27</v>
      </c>
      <c r="C182" s="475"/>
      <c r="D182" s="1"/>
      <c r="E182" s="1"/>
      <c r="F182" s="1"/>
    </row>
    <row r="183" spans="1:6" x14ac:dyDescent="0.25">
      <c r="A183" s="1"/>
      <c r="B183" s="194" t="s">
        <v>318</v>
      </c>
      <c r="C183" s="194"/>
      <c r="D183" s="194"/>
      <c r="E183" s="195">
        <f>+D185</f>
        <v>1.8126228758274765</v>
      </c>
      <c r="F183" s="1"/>
    </row>
    <row r="184" spans="1:6" x14ac:dyDescent="0.25">
      <c r="A184" s="1"/>
      <c r="B184" s="110"/>
      <c r="C184" s="186" t="s">
        <v>294</v>
      </c>
      <c r="D184" s="149"/>
      <c r="E184" s="149"/>
      <c r="F184" s="150">
        <f>+D185</f>
        <v>1.8126228758274765</v>
      </c>
    </row>
    <row r="185" spans="1:6" x14ac:dyDescent="0.25">
      <c r="A185" s="1"/>
      <c r="B185" s="110"/>
      <c r="C185" s="1" t="s">
        <v>348</v>
      </c>
      <c r="D185" s="34">
        <f>+'hoja de costos '!Q97</f>
        <v>1.8126228758274765</v>
      </c>
      <c r="E185" s="1"/>
      <c r="F185" s="1"/>
    </row>
    <row r="186" spans="1:6" x14ac:dyDescent="0.25">
      <c r="A186" s="1"/>
      <c r="B186" s="479" t="s">
        <v>351</v>
      </c>
      <c r="C186" s="479"/>
      <c r="D186" s="1"/>
      <c r="E186" s="1"/>
      <c r="F186" s="1"/>
    </row>
    <row r="187" spans="1:6" x14ac:dyDescent="0.25">
      <c r="A187" s="102">
        <v>42293</v>
      </c>
      <c r="B187" s="475">
        <v>28</v>
      </c>
      <c r="C187" s="475"/>
      <c r="D187" s="1"/>
      <c r="E187" s="1"/>
      <c r="F187" s="1"/>
    </row>
    <row r="188" spans="1:6" x14ac:dyDescent="0.25">
      <c r="A188" s="1"/>
      <c r="B188" s="196" t="s">
        <v>207</v>
      </c>
      <c r="C188" s="196"/>
      <c r="D188" s="196"/>
      <c r="E188" s="196">
        <v>7.58</v>
      </c>
      <c r="F188" s="1"/>
    </row>
    <row r="189" spans="1:6" x14ac:dyDescent="0.25">
      <c r="A189" s="1"/>
      <c r="B189" s="1"/>
      <c r="C189" s="197" t="s">
        <v>324</v>
      </c>
      <c r="D189" s="197"/>
      <c r="E189" s="197"/>
      <c r="F189" s="197">
        <v>7.58</v>
      </c>
    </row>
    <row r="190" spans="1:6" x14ac:dyDescent="0.25">
      <c r="A190" s="1"/>
      <c r="B190" s="1" t="s">
        <v>325</v>
      </c>
      <c r="C190" s="1"/>
      <c r="D190" s="1"/>
      <c r="E190" s="1"/>
      <c r="F190" s="1"/>
    </row>
    <row r="191" spans="1:6" x14ac:dyDescent="0.25">
      <c r="A191" s="102">
        <v>42293</v>
      </c>
      <c r="B191" s="472">
        <v>29</v>
      </c>
      <c r="C191" s="473"/>
      <c r="D191" s="1"/>
      <c r="E191" s="1"/>
      <c r="F191" s="1"/>
    </row>
    <row r="192" spans="1:6" x14ac:dyDescent="0.25">
      <c r="A192" s="1"/>
      <c r="B192" s="186" t="s">
        <v>294</v>
      </c>
      <c r="C192" s="149"/>
      <c r="D192" s="149"/>
      <c r="E192" s="150">
        <f>+D193</f>
        <v>0.37374333333333332</v>
      </c>
      <c r="F192" s="1"/>
    </row>
    <row r="193" spans="1:6" x14ac:dyDescent="0.25">
      <c r="A193" s="1"/>
      <c r="B193" s="1" t="s">
        <v>353</v>
      </c>
      <c r="C193" s="1"/>
      <c r="D193" s="34">
        <f>+'hoja de costos '!E116</f>
        <v>0.37374333333333332</v>
      </c>
      <c r="E193" s="1"/>
      <c r="F193" s="1"/>
    </row>
    <row r="194" spans="1:6" ht="15.75" x14ac:dyDescent="0.25">
      <c r="A194" s="1"/>
      <c r="B194" s="1"/>
      <c r="C194" s="188" t="s">
        <v>200</v>
      </c>
      <c r="D194" s="68"/>
      <c r="E194" s="68"/>
      <c r="F194" s="69">
        <f>+D195+D196+D197+D198+D199+D200+D201+D202</f>
        <v>0.37374333333333332</v>
      </c>
    </row>
    <row r="195" spans="1:6" ht="15.75" x14ac:dyDescent="0.25">
      <c r="A195" s="1"/>
      <c r="B195" s="1"/>
      <c r="C195" s="37" t="s">
        <v>136</v>
      </c>
      <c r="D195" s="34">
        <f>+'hoja de costos '!E108</f>
        <v>4.4999999999999998E-2</v>
      </c>
      <c r="E195" s="1"/>
      <c r="F195" s="1"/>
    </row>
    <row r="196" spans="1:6" ht="15.75" x14ac:dyDescent="0.25">
      <c r="A196" s="1"/>
      <c r="B196" s="1"/>
      <c r="C196" s="37" t="s">
        <v>138</v>
      </c>
      <c r="D196" s="34">
        <f>+'hoja de costos '!E109</f>
        <v>6.2E-2</v>
      </c>
      <c r="E196" s="1"/>
      <c r="F196" s="1"/>
    </row>
    <row r="197" spans="1:6" ht="15.75" x14ac:dyDescent="0.25">
      <c r="A197" s="1"/>
      <c r="B197" s="1"/>
      <c r="C197" s="37" t="s">
        <v>139</v>
      </c>
      <c r="D197" s="34">
        <f>+'hoja de costos '!E110</f>
        <v>4.931E-2</v>
      </c>
      <c r="E197" s="1"/>
      <c r="F197" s="1"/>
    </row>
    <row r="198" spans="1:6" ht="15.75" x14ac:dyDescent="0.25">
      <c r="A198" s="1"/>
      <c r="B198" s="1"/>
      <c r="C198" s="37" t="s">
        <v>140</v>
      </c>
      <c r="D198" s="34">
        <f>+'hoja de costos '!E111</f>
        <v>6.5000000000000002E-2</v>
      </c>
      <c r="E198" s="1"/>
      <c r="F198" s="1"/>
    </row>
    <row r="199" spans="1:6" ht="15.75" x14ac:dyDescent="0.25">
      <c r="A199" s="1"/>
      <c r="B199" s="1"/>
      <c r="C199" s="37" t="s">
        <v>141</v>
      </c>
      <c r="D199" s="34">
        <f>+'hoja de costos '!E112</f>
        <v>3.9E-2</v>
      </c>
      <c r="E199" s="1"/>
      <c r="F199" s="1"/>
    </row>
    <row r="200" spans="1:6" ht="15.75" x14ac:dyDescent="0.25">
      <c r="A200" s="1"/>
      <c r="B200" s="1"/>
      <c r="C200" s="37" t="s">
        <v>142</v>
      </c>
      <c r="D200" s="34">
        <f>+'hoja de costos '!E113</f>
        <v>5.4999999999999993E-2</v>
      </c>
      <c r="E200" s="1"/>
      <c r="F200" s="1"/>
    </row>
    <row r="201" spans="1:6" ht="15.75" x14ac:dyDescent="0.25">
      <c r="A201" s="1"/>
      <c r="B201" s="1"/>
      <c r="C201" s="37" t="s">
        <v>143</v>
      </c>
      <c r="D201" s="34">
        <f>+'hoja de costos '!E114</f>
        <v>3.7359999999999997E-2</v>
      </c>
      <c r="E201" s="1"/>
      <c r="F201" s="1"/>
    </row>
    <row r="202" spans="1:6" ht="15.75" x14ac:dyDescent="0.25">
      <c r="A202" s="1"/>
      <c r="B202" s="1"/>
      <c r="C202" s="37" t="s">
        <v>238</v>
      </c>
      <c r="D202" s="34">
        <f>+'hoja de costos '!E115</f>
        <v>2.1073333333333333E-2</v>
      </c>
      <c r="E202" s="1"/>
      <c r="F202" s="1"/>
    </row>
    <row r="203" spans="1:6" x14ac:dyDescent="0.25">
      <c r="A203" s="1"/>
      <c r="B203" s="474" t="s">
        <v>352</v>
      </c>
      <c r="C203" s="474"/>
      <c r="D203" s="1"/>
      <c r="E203" s="1"/>
      <c r="F203" s="1"/>
    </row>
    <row r="204" spans="1:6" x14ac:dyDescent="0.25">
      <c r="A204" s="5">
        <v>42293</v>
      </c>
      <c r="B204" s="464">
        <v>30</v>
      </c>
      <c r="C204" s="464"/>
      <c r="D204" s="2"/>
      <c r="E204" s="2"/>
      <c r="F204" s="2"/>
    </row>
    <row r="205" spans="1:6" x14ac:dyDescent="0.25">
      <c r="A205" s="2"/>
      <c r="B205" s="222" t="s">
        <v>508</v>
      </c>
      <c r="C205" s="222"/>
      <c r="D205" s="222"/>
      <c r="E205" s="223">
        <f>+F206</f>
        <v>0.1915</v>
      </c>
      <c r="F205" s="2"/>
    </row>
    <row r="206" spans="1:6" x14ac:dyDescent="0.25">
      <c r="A206" s="2"/>
      <c r="B206" s="2"/>
      <c r="C206" s="190" t="s">
        <v>204</v>
      </c>
      <c r="D206" s="190"/>
      <c r="E206" s="190"/>
      <c r="F206" s="191">
        <f>+D207+D208+D209+D210+D211</f>
        <v>0.1915</v>
      </c>
    </row>
    <row r="207" spans="1:6" ht="15.75" x14ac:dyDescent="0.25">
      <c r="A207" s="2"/>
      <c r="B207" s="2"/>
      <c r="C207" s="124" t="s">
        <v>311</v>
      </c>
      <c r="D207" s="3">
        <f>+'kardex materiales'!H58</f>
        <v>4.2999999999999997E-2</v>
      </c>
      <c r="E207" s="2"/>
      <c r="F207" s="2"/>
    </row>
    <row r="208" spans="1:6" ht="15.75" x14ac:dyDescent="0.25">
      <c r="A208" s="2"/>
      <c r="B208" s="2"/>
      <c r="C208" s="124" t="s">
        <v>315</v>
      </c>
      <c r="D208" s="3">
        <f>+'kardex materiales'!H96</f>
        <v>2.4E-2</v>
      </c>
      <c r="E208" s="2"/>
      <c r="F208" s="2"/>
    </row>
    <row r="209" spans="1:6" ht="15.75" x14ac:dyDescent="0.25">
      <c r="A209" s="2"/>
      <c r="B209" s="2"/>
      <c r="C209" s="124" t="s">
        <v>312</v>
      </c>
      <c r="D209" s="3">
        <f>+'kardex materiales'!H374</f>
        <v>3.0999999999999993E-2</v>
      </c>
      <c r="E209" s="2"/>
      <c r="F209" s="2"/>
    </row>
    <row r="210" spans="1:6" ht="15.75" x14ac:dyDescent="0.25">
      <c r="A210" s="2"/>
      <c r="B210" s="2"/>
      <c r="C210" s="124" t="s">
        <v>316</v>
      </c>
      <c r="D210" s="3">
        <f>+'kardex materiales'!H267</f>
        <v>6.3500000000000001E-2</v>
      </c>
      <c r="E210" s="2"/>
      <c r="F210" s="2"/>
    </row>
    <row r="211" spans="1:6" ht="15.75" x14ac:dyDescent="0.25">
      <c r="A211" s="2"/>
      <c r="B211" s="2"/>
      <c r="C211" s="124" t="s">
        <v>17</v>
      </c>
      <c r="D211" s="3">
        <f>+'kardex materiales'!H76</f>
        <v>0.03</v>
      </c>
      <c r="E211" s="2"/>
      <c r="F211" s="2"/>
    </row>
    <row r="212" spans="1:6" x14ac:dyDescent="0.25">
      <c r="A212" s="2"/>
      <c r="B212" s="471" t="s">
        <v>355</v>
      </c>
      <c r="C212" s="471"/>
      <c r="D212" s="2"/>
      <c r="E212" s="2"/>
      <c r="F212" s="2"/>
    </row>
    <row r="213" spans="1:6" x14ac:dyDescent="0.25">
      <c r="A213" s="5">
        <v>42294</v>
      </c>
      <c r="B213" s="475">
        <v>31</v>
      </c>
      <c r="C213" s="475"/>
      <c r="D213" s="1"/>
      <c r="E213" s="1"/>
      <c r="F213" s="1"/>
    </row>
    <row r="214" spans="1:6" x14ac:dyDescent="0.25">
      <c r="A214" s="1"/>
      <c r="B214" s="194" t="s">
        <v>318</v>
      </c>
      <c r="C214" s="194"/>
      <c r="D214" s="194"/>
      <c r="E214" s="195">
        <f>+F215</f>
        <v>3.6749112255098524</v>
      </c>
      <c r="F214" s="1"/>
    </row>
    <row r="215" spans="1:6" x14ac:dyDescent="0.25">
      <c r="A215" s="1"/>
      <c r="B215" s="110"/>
      <c r="C215" s="186" t="s">
        <v>294</v>
      </c>
      <c r="D215" s="149"/>
      <c r="E215" s="149"/>
      <c r="F215" s="150">
        <f>+D216</f>
        <v>3.6749112255098524</v>
      </c>
    </row>
    <row r="216" spans="1:6" x14ac:dyDescent="0.25">
      <c r="A216" s="1"/>
      <c r="B216" s="110"/>
      <c r="C216" s="1" t="s">
        <v>353</v>
      </c>
      <c r="D216" s="34">
        <f>+'hoja de costos '!Q111</f>
        <v>3.6749112255098524</v>
      </c>
      <c r="E216" s="1"/>
      <c r="F216" s="1"/>
    </row>
    <row r="217" spans="1:6" x14ac:dyDescent="0.25">
      <c r="A217" s="1"/>
      <c r="B217" s="479" t="s">
        <v>356</v>
      </c>
      <c r="C217" s="479"/>
      <c r="D217" s="1"/>
      <c r="E217" s="1"/>
      <c r="F217" s="1"/>
    </row>
    <row r="218" spans="1:6" x14ac:dyDescent="0.25">
      <c r="A218" s="5">
        <v>42294</v>
      </c>
      <c r="B218" s="475">
        <v>32</v>
      </c>
      <c r="C218" s="475"/>
      <c r="D218" s="1"/>
      <c r="E218" s="1"/>
      <c r="F218" s="1"/>
    </row>
    <row r="219" spans="1:6" x14ac:dyDescent="0.25">
      <c r="A219" s="1"/>
      <c r="B219" s="196" t="s">
        <v>207</v>
      </c>
      <c r="C219" s="196"/>
      <c r="D219" s="196"/>
      <c r="E219" s="196">
        <v>9.89</v>
      </c>
      <c r="F219" s="1"/>
    </row>
    <row r="220" spans="1:6" x14ac:dyDescent="0.25">
      <c r="A220" s="1"/>
      <c r="B220" s="1"/>
      <c r="C220" s="204" t="s">
        <v>324</v>
      </c>
      <c r="D220" s="204"/>
      <c r="E220" s="204"/>
      <c r="F220" s="204">
        <f>+E219</f>
        <v>9.89</v>
      </c>
    </row>
    <row r="221" spans="1:6" x14ac:dyDescent="0.25">
      <c r="A221" s="1"/>
      <c r="B221" s="1" t="s">
        <v>325</v>
      </c>
      <c r="C221" s="1"/>
      <c r="D221" s="1"/>
      <c r="E221" s="1"/>
      <c r="F221" s="1"/>
    </row>
    <row r="222" spans="1:6" x14ac:dyDescent="0.25">
      <c r="A222" s="102">
        <v>42296</v>
      </c>
      <c r="B222" s="475">
        <v>33</v>
      </c>
      <c r="C222" s="475"/>
      <c r="D222" s="1"/>
      <c r="E222" s="1"/>
      <c r="F222" s="1"/>
    </row>
    <row r="223" spans="1:6" x14ac:dyDescent="0.25">
      <c r="A223" s="1"/>
      <c r="B223" s="186" t="s">
        <v>294</v>
      </c>
      <c r="C223" s="149"/>
      <c r="D223" s="149"/>
      <c r="E223" s="150">
        <f>+D224</f>
        <v>7.7429999999999999E-2</v>
      </c>
      <c r="F223" s="1"/>
    </row>
    <row r="224" spans="1:6" x14ac:dyDescent="0.25">
      <c r="A224" s="1"/>
      <c r="B224" s="1" t="s">
        <v>357</v>
      </c>
      <c r="C224" s="1"/>
      <c r="D224" s="34">
        <f>+'hoja de costos '!E130</f>
        <v>7.7429999999999999E-2</v>
      </c>
      <c r="E224" s="1"/>
      <c r="F224" s="1"/>
    </row>
    <row r="225" spans="1:7" ht="15.75" x14ac:dyDescent="0.25">
      <c r="A225" s="1"/>
      <c r="B225" s="1"/>
      <c r="C225" s="188" t="s">
        <v>200</v>
      </c>
      <c r="D225" s="68"/>
      <c r="E225" s="68"/>
      <c r="F225" s="69">
        <f>+D226+D227</f>
        <v>7.7429999999999999E-2</v>
      </c>
    </row>
    <row r="226" spans="1:7" ht="15.75" x14ac:dyDescent="0.25">
      <c r="A226" s="1"/>
      <c r="B226" s="1"/>
      <c r="C226" s="37" t="s">
        <v>175</v>
      </c>
      <c r="D226" s="34">
        <f>+'hoja de costos '!E127</f>
        <v>4.7880000000000006E-2</v>
      </c>
      <c r="E226" s="1"/>
      <c r="F226" s="1"/>
    </row>
    <row r="227" spans="1:7" ht="15.75" x14ac:dyDescent="0.25">
      <c r="A227" s="1"/>
      <c r="B227" s="1"/>
      <c r="C227" s="37" t="s">
        <v>241</v>
      </c>
      <c r="D227" s="34">
        <f>+'hoja de costos '!E128</f>
        <v>2.955E-2</v>
      </c>
      <c r="E227" s="1"/>
      <c r="F227" s="1"/>
    </row>
    <row r="228" spans="1:7" x14ac:dyDescent="0.25">
      <c r="A228" s="126"/>
      <c r="B228" s="126" t="s">
        <v>358</v>
      </c>
      <c r="C228" s="126"/>
      <c r="D228" s="126"/>
      <c r="E228" s="126"/>
      <c r="F228" s="126"/>
    </row>
    <row r="229" spans="1:7" x14ac:dyDescent="0.25">
      <c r="A229" s="102">
        <v>42296</v>
      </c>
      <c r="B229" s="475">
        <v>34</v>
      </c>
      <c r="C229" s="475"/>
      <c r="D229" s="1"/>
      <c r="E229" s="1"/>
      <c r="F229" s="1"/>
      <c r="G229" s="39"/>
    </row>
    <row r="230" spans="1:7" x14ac:dyDescent="0.25">
      <c r="A230" s="1"/>
      <c r="B230" s="222" t="s">
        <v>508</v>
      </c>
      <c r="C230" s="222"/>
      <c r="D230" s="222"/>
      <c r="E230" s="223">
        <f>+F231</f>
        <v>0.23740000000000003</v>
      </c>
      <c r="F230" s="1"/>
      <c r="G230" s="39"/>
    </row>
    <row r="231" spans="1:7" x14ac:dyDescent="0.25">
      <c r="A231" s="1"/>
      <c r="B231" s="1"/>
      <c r="C231" s="190" t="s">
        <v>204</v>
      </c>
      <c r="D231" s="190"/>
      <c r="E231" s="190"/>
      <c r="F231" s="191">
        <f>+D232+D233+D234+D235</f>
        <v>0.23740000000000003</v>
      </c>
      <c r="G231" s="39"/>
    </row>
    <row r="232" spans="1:7" ht="15.75" x14ac:dyDescent="0.25">
      <c r="A232" s="1"/>
      <c r="B232" s="1"/>
      <c r="C232" s="37" t="s">
        <v>33</v>
      </c>
      <c r="D232" s="34">
        <f>+'kardex materiales'!H343</f>
        <v>4.4999999999999998E-2</v>
      </c>
      <c r="E232" s="1"/>
      <c r="F232" s="1"/>
      <c r="G232" s="39"/>
    </row>
    <row r="233" spans="1:7" ht="15.75" x14ac:dyDescent="0.25">
      <c r="A233" s="1"/>
      <c r="B233" s="1"/>
      <c r="C233" s="37" t="s">
        <v>25</v>
      </c>
      <c r="D233" s="34">
        <f>+'kardex materiales'!H229</f>
        <v>8.2400000000000001E-2</v>
      </c>
      <c r="E233" s="1"/>
      <c r="F233" s="1"/>
      <c r="G233" s="39"/>
    </row>
    <row r="234" spans="1:7" ht="15.75" x14ac:dyDescent="0.25">
      <c r="A234" s="1"/>
      <c r="B234" s="1"/>
      <c r="C234" s="37" t="s">
        <v>23</v>
      </c>
      <c r="D234" s="1">
        <f>+'kardex materiales'!H193</f>
        <v>2.0000000000000004E-2</v>
      </c>
      <c r="E234" s="1"/>
      <c r="F234" s="1"/>
      <c r="G234" s="39"/>
    </row>
    <row r="235" spans="1:7" ht="15.75" x14ac:dyDescent="0.25">
      <c r="A235" s="1"/>
      <c r="B235" s="1"/>
      <c r="C235" s="37" t="s">
        <v>26</v>
      </c>
      <c r="D235" s="1">
        <f>+'kardex materiales'!H250</f>
        <v>0.09</v>
      </c>
      <c r="E235" s="1"/>
      <c r="F235" s="1"/>
      <c r="G235" s="39"/>
    </row>
    <row r="236" spans="1:7" x14ac:dyDescent="0.25">
      <c r="A236" s="1"/>
      <c r="B236" s="1" t="s">
        <v>360</v>
      </c>
      <c r="C236" s="1"/>
      <c r="D236" s="1"/>
      <c r="E236" s="1"/>
      <c r="F236" s="1"/>
      <c r="G236" s="39"/>
    </row>
    <row r="237" spans="1:7" x14ac:dyDescent="0.25">
      <c r="A237" s="102">
        <v>42297</v>
      </c>
      <c r="B237" s="475">
        <v>35</v>
      </c>
      <c r="C237" s="475"/>
      <c r="D237" s="1"/>
      <c r="E237" s="1"/>
      <c r="F237" s="1"/>
      <c r="G237" s="39"/>
    </row>
    <row r="238" spans="1:7" x14ac:dyDescent="0.25">
      <c r="A238" s="1"/>
      <c r="B238" s="194" t="s">
        <v>318</v>
      </c>
      <c r="C238" s="194"/>
      <c r="D238" s="194"/>
      <c r="E238" s="195">
        <f>+F239</f>
        <v>1.8380528758274766</v>
      </c>
      <c r="F238" s="1"/>
    </row>
    <row r="239" spans="1:7" x14ac:dyDescent="0.25">
      <c r="A239" s="1"/>
      <c r="B239" s="110"/>
      <c r="C239" s="186" t="s">
        <v>294</v>
      </c>
      <c r="D239" s="149"/>
      <c r="E239" s="149"/>
      <c r="F239" s="150">
        <f>+D240</f>
        <v>1.8380528758274766</v>
      </c>
    </row>
    <row r="240" spans="1:7" x14ac:dyDescent="0.25">
      <c r="A240" s="1"/>
      <c r="B240" s="110"/>
      <c r="C240" s="1" t="s">
        <v>357</v>
      </c>
      <c r="D240" s="34">
        <f>+'hoja de costos '!Q130</f>
        <v>1.8380528758274766</v>
      </c>
      <c r="E240" s="1"/>
      <c r="F240" s="1"/>
    </row>
    <row r="241" spans="1:6" x14ac:dyDescent="0.25">
      <c r="A241" s="1"/>
      <c r="B241" s="479" t="s">
        <v>361</v>
      </c>
      <c r="C241" s="479"/>
      <c r="D241" s="1"/>
      <c r="E241" s="1"/>
      <c r="F241" s="1"/>
    </row>
    <row r="242" spans="1:6" x14ac:dyDescent="0.25">
      <c r="A242" s="102">
        <v>42297</v>
      </c>
      <c r="B242" s="475">
        <v>36</v>
      </c>
      <c r="C242" s="475"/>
      <c r="D242" s="1"/>
      <c r="E242" s="1"/>
      <c r="F242" s="1"/>
    </row>
    <row r="243" spans="1:6" x14ac:dyDescent="0.25">
      <c r="A243" s="1"/>
      <c r="B243" s="196" t="s">
        <v>207</v>
      </c>
      <c r="C243" s="196"/>
      <c r="D243" s="196"/>
      <c r="E243" s="196">
        <v>3.64</v>
      </c>
      <c r="F243" s="1"/>
    </row>
    <row r="244" spans="1:6" x14ac:dyDescent="0.25">
      <c r="A244" s="1"/>
      <c r="B244" s="1"/>
      <c r="C244" s="197" t="s">
        <v>324</v>
      </c>
      <c r="D244" s="197"/>
      <c r="E244" s="197"/>
      <c r="F244" s="197">
        <v>3.64</v>
      </c>
    </row>
    <row r="245" spans="1:6" x14ac:dyDescent="0.25">
      <c r="A245" s="1"/>
      <c r="B245" s="1" t="s">
        <v>325</v>
      </c>
      <c r="C245" s="1"/>
      <c r="D245" s="1"/>
      <c r="E245" s="1"/>
      <c r="F245" s="1"/>
    </row>
    <row r="246" spans="1:6" x14ac:dyDescent="0.25">
      <c r="A246" s="102">
        <v>42297</v>
      </c>
      <c r="B246" s="475">
        <v>37</v>
      </c>
      <c r="C246" s="475"/>
      <c r="D246" s="1"/>
      <c r="E246" s="1"/>
      <c r="F246" s="1"/>
    </row>
    <row r="247" spans="1:6" x14ac:dyDescent="0.25">
      <c r="A247" s="1"/>
      <c r="B247" s="186" t="s">
        <v>294</v>
      </c>
      <c r="C247" s="149"/>
      <c r="D247" s="149"/>
      <c r="E247" s="150">
        <f>+D248</f>
        <v>0.62652333333333332</v>
      </c>
      <c r="F247" s="1"/>
    </row>
    <row r="248" spans="1:6" x14ac:dyDescent="0.25">
      <c r="A248" s="1"/>
      <c r="B248" s="1" t="s">
        <v>366</v>
      </c>
      <c r="C248" s="1"/>
      <c r="D248" s="34">
        <f>+'hoja de costos '!E149</f>
        <v>0.62652333333333332</v>
      </c>
      <c r="E248" s="1"/>
      <c r="F248" s="1"/>
    </row>
    <row r="249" spans="1:6" ht="15.75" x14ac:dyDescent="0.25">
      <c r="A249" s="1"/>
      <c r="B249" s="1"/>
      <c r="C249" s="188" t="s">
        <v>200</v>
      </c>
      <c r="D249" s="68"/>
      <c r="E249" s="68"/>
      <c r="F249" s="69">
        <f>+D250+D251+D252+D253+D254+D255+D256+D257+D258</f>
        <v>0.62652333333333332</v>
      </c>
    </row>
    <row r="250" spans="1:6" ht="15.75" x14ac:dyDescent="0.25">
      <c r="A250" s="1"/>
      <c r="B250" s="1"/>
      <c r="C250" s="54" t="s">
        <v>232</v>
      </c>
      <c r="D250" s="34">
        <f>+'hoja de costos '!E140</f>
        <v>0.13500000000000001</v>
      </c>
      <c r="E250" s="1"/>
      <c r="F250" s="1"/>
    </row>
    <row r="251" spans="1:6" ht="15.75" x14ac:dyDescent="0.25">
      <c r="A251" s="1"/>
      <c r="B251" s="1"/>
      <c r="C251" s="37" t="s">
        <v>233</v>
      </c>
      <c r="D251" s="34">
        <f>+'hoja de costos '!E141</f>
        <v>5.3399999999999996E-2</v>
      </c>
      <c r="E251" s="1"/>
      <c r="F251" s="1"/>
    </row>
    <row r="252" spans="1:6" ht="15.75" x14ac:dyDescent="0.25">
      <c r="A252" s="1"/>
      <c r="B252" s="1"/>
      <c r="C252" s="37" t="s">
        <v>234</v>
      </c>
      <c r="D252" s="34">
        <f>+'hoja de costos '!E142</f>
        <v>3.4979999999999997E-2</v>
      </c>
      <c r="E252" s="1"/>
      <c r="F252" s="1"/>
    </row>
    <row r="253" spans="1:6" ht="15.75" x14ac:dyDescent="0.25">
      <c r="A253" s="1"/>
      <c r="B253" s="1"/>
      <c r="C253" s="37" t="s">
        <v>98</v>
      </c>
      <c r="D253" s="34">
        <f>+'hoja de costos '!E143</f>
        <v>2.886E-2</v>
      </c>
      <c r="E253" s="1"/>
      <c r="F253" s="1"/>
    </row>
    <row r="254" spans="1:6" ht="15.75" x14ac:dyDescent="0.25">
      <c r="A254" s="1"/>
      <c r="B254" s="1"/>
      <c r="C254" s="37" t="s">
        <v>99</v>
      </c>
      <c r="D254" s="34">
        <f>+'hoja de costos '!E144</f>
        <v>5.6999999999999995E-2</v>
      </c>
      <c r="E254" s="1"/>
      <c r="F254" s="1"/>
    </row>
    <row r="255" spans="1:6" ht="15.75" x14ac:dyDescent="0.25">
      <c r="A255" s="1"/>
      <c r="B255" s="1"/>
      <c r="C255" s="37" t="s">
        <v>100</v>
      </c>
      <c r="D255" s="34">
        <f>+'hoja de costos '!E145</f>
        <v>0.1176</v>
      </c>
      <c r="E255" s="1"/>
      <c r="F255" s="1"/>
    </row>
    <row r="256" spans="1:6" ht="15.75" x14ac:dyDescent="0.25">
      <c r="A256" s="1"/>
      <c r="B256" s="1"/>
      <c r="C256" s="37" t="s">
        <v>235</v>
      </c>
      <c r="D256" s="34">
        <f>+'hoja de costos '!E146</f>
        <v>8.2959999999999992E-2</v>
      </c>
      <c r="E256" s="1"/>
      <c r="F256" s="1"/>
    </row>
    <row r="257" spans="1:6" ht="15.75" x14ac:dyDescent="0.25">
      <c r="A257" s="1"/>
      <c r="B257" s="1"/>
      <c r="C257" s="37" t="s">
        <v>236</v>
      </c>
      <c r="D257" s="34">
        <f>+'hoja de costos '!E147</f>
        <v>9.5649999999999985E-2</v>
      </c>
      <c r="E257" s="1"/>
      <c r="F257" s="1"/>
    </row>
    <row r="258" spans="1:6" ht="15.75" x14ac:dyDescent="0.25">
      <c r="A258" s="1"/>
      <c r="B258" s="1"/>
      <c r="C258" s="37" t="s">
        <v>93</v>
      </c>
      <c r="D258" s="34">
        <f>+'hoja de costos '!E148</f>
        <v>2.1073333333333333E-2</v>
      </c>
      <c r="E258" s="1"/>
      <c r="F258" s="1"/>
    </row>
    <row r="259" spans="1:6" ht="15.75" x14ac:dyDescent="0.25">
      <c r="A259" s="1"/>
      <c r="B259" s="126" t="s">
        <v>365</v>
      </c>
      <c r="C259" s="37"/>
      <c r="D259" s="34"/>
      <c r="E259" s="1"/>
      <c r="F259" s="1"/>
    </row>
    <row r="260" spans="1:6" x14ac:dyDescent="0.25">
      <c r="A260" s="102">
        <v>42297</v>
      </c>
      <c r="B260" s="475">
        <v>38</v>
      </c>
      <c r="C260" s="475"/>
      <c r="D260" s="1"/>
      <c r="E260" s="1"/>
      <c r="F260" s="1"/>
    </row>
    <row r="261" spans="1:6" x14ac:dyDescent="0.25">
      <c r="A261" s="1"/>
      <c r="B261" s="222" t="s">
        <v>245</v>
      </c>
      <c r="C261" s="222"/>
      <c r="D261" s="222"/>
      <c r="E261" s="223">
        <f>+F262</f>
        <v>0.19719999999999999</v>
      </c>
      <c r="F261" s="1"/>
    </row>
    <row r="262" spans="1:6" x14ac:dyDescent="0.25">
      <c r="A262" s="1"/>
      <c r="B262" s="1"/>
      <c r="C262" s="205" t="s">
        <v>204</v>
      </c>
      <c r="D262" s="205"/>
      <c r="E262" s="205"/>
      <c r="F262" s="206">
        <f>+D263+D264+D265+D266+D267</f>
        <v>0.19719999999999999</v>
      </c>
    </row>
    <row r="263" spans="1:6" ht="15.75" x14ac:dyDescent="0.25">
      <c r="A263" s="1"/>
      <c r="B263" s="1"/>
      <c r="C263" s="37" t="s">
        <v>205</v>
      </c>
      <c r="D263" s="34">
        <f>+'kardex materiales'!H38</f>
        <v>5.2199999999999996E-2</v>
      </c>
      <c r="E263" s="1"/>
      <c r="F263" s="1"/>
    </row>
    <row r="264" spans="1:6" ht="15.75" x14ac:dyDescent="0.25">
      <c r="A264" s="1"/>
      <c r="B264" s="1"/>
      <c r="C264" s="37" t="s">
        <v>311</v>
      </c>
      <c r="D264" s="34">
        <f>+'kardex materiales'!H59</f>
        <v>4.2999999999999997E-2</v>
      </c>
      <c r="E264" s="1"/>
      <c r="F264" s="1"/>
    </row>
    <row r="265" spans="1:6" ht="15.75" x14ac:dyDescent="0.25">
      <c r="A265" s="1"/>
      <c r="B265" s="1"/>
      <c r="C265" s="37" t="s">
        <v>315</v>
      </c>
      <c r="D265" s="34">
        <f>+'kardex materiales'!H97</f>
        <v>2.4E-2</v>
      </c>
      <c r="E265" s="1"/>
      <c r="F265" s="1"/>
    </row>
    <row r="266" spans="1:6" ht="15.75" x14ac:dyDescent="0.25">
      <c r="A266" s="1"/>
      <c r="B266" s="1"/>
      <c r="C266" s="37" t="s">
        <v>17</v>
      </c>
      <c r="D266" s="34">
        <f>+'kardex materiales'!H77</f>
        <v>0.03</v>
      </c>
      <c r="E266" s="1"/>
      <c r="F266" s="1"/>
    </row>
    <row r="267" spans="1:6" ht="15.75" x14ac:dyDescent="0.25">
      <c r="A267" s="1"/>
      <c r="B267" s="1"/>
      <c r="C267" s="37" t="s">
        <v>314</v>
      </c>
      <c r="D267" s="34">
        <f>+'kardex materiales'!H117</f>
        <v>4.7999999999999994E-2</v>
      </c>
      <c r="E267" s="1"/>
      <c r="F267" s="1"/>
    </row>
    <row r="268" spans="1:6" x14ac:dyDescent="0.25">
      <c r="A268" s="135"/>
      <c r="B268" s="135" t="s">
        <v>364</v>
      </c>
      <c r="C268" s="135"/>
      <c r="D268" s="135"/>
      <c r="E268" s="135"/>
      <c r="F268" s="135"/>
    </row>
    <row r="269" spans="1:6" x14ac:dyDescent="0.25">
      <c r="A269" s="102">
        <v>42298</v>
      </c>
      <c r="B269" s="475">
        <v>39</v>
      </c>
      <c r="C269" s="475"/>
      <c r="D269" s="1"/>
      <c r="E269" s="1"/>
      <c r="F269" s="1"/>
    </row>
    <row r="270" spans="1:6" x14ac:dyDescent="0.25">
      <c r="A270" s="1"/>
      <c r="B270" s="194" t="s">
        <v>318</v>
      </c>
      <c r="C270" s="194"/>
      <c r="D270" s="194"/>
      <c r="E270" s="195">
        <f>+F271</f>
        <v>3.267457647074548</v>
      </c>
      <c r="F270" s="1"/>
    </row>
    <row r="271" spans="1:6" x14ac:dyDescent="0.25">
      <c r="A271" s="1"/>
      <c r="B271" s="110"/>
      <c r="C271" s="186" t="s">
        <v>294</v>
      </c>
      <c r="D271" s="149"/>
      <c r="E271" s="149"/>
      <c r="F271" s="150">
        <f>+D272</f>
        <v>3.267457647074548</v>
      </c>
    </row>
    <row r="272" spans="1:6" x14ac:dyDescent="0.25">
      <c r="A272" s="1"/>
      <c r="B272" s="110"/>
      <c r="C272" s="1" t="s">
        <v>366</v>
      </c>
      <c r="D272" s="34">
        <f>+'hoja de costos '!Q143</f>
        <v>3.267457647074548</v>
      </c>
      <c r="E272" s="1"/>
      <c r="F272" s="1"/>
    </row>
    <row r="273" spans="1:6" x14ac:dyDescent="0.25">
      <c r="A273" s="1"/>
      <c r="B273" s="479" t="s">
        <v>367</v>
      </c>
      <c r="C273" s="479"/>
      <c r="D273" s="1"/>
      <c r="E273" s="1"/>
      <c r="F273" s="1"/>
    </row>
    <row r="274" spans="1:6" x14ac:dyDescent="0.25">
      <c r="A274" s="102">
        <v>42299</v>
      </c>
      <c r="B274" s="475">
        <v>40</v>
      </c>
      <c r="C274" s="475"/>
      <c r="D274" s="1"/>
      <c r="E274" s="1"/>
      <c r="F274" s="1"/>
    </row>
    <row r="275" spans="1:6" x14ac:dyDescent="0.25">
      <c r="A275" s="1"/>
      <c r="B275" s="196" t="s">
        <v>207</v>
      </c>
      <c r="C275" s="196"/>
      <c r="D275" s="196"/>
      <c r="E275" s="196">
        <v>14.64</v>
      </c>
      <c r="F275" s="1"/>
    </row>
    <row r="276" spans="1:6" x14ac:dyDescent="0.25">
      <c r="A276" s="1"/>
      <c r="B276" s="1"/>
      <c r="C276" s="197" t="s">
        <v>324</v>
      </c>
      <c r="D276" s="197"/>
      <c r="E276" s="197"/>
      <c r="F276" s="197">
        <v>14.64</v>
      </c>
    </row>
    <row r="277" spans="1:6" x14ac:dyDescent="0.25">
      <c r="A277" s="1"/>
      <c r="B277" s="1" t="s">
        <v>325</v>
      </c>
      <c r="C277" s="1"/>
      <c r="D277" s="1"/>
      <c r="E277" s="1"/>
      <c r="F277" s="1"/>
    </row>
    <row r="278" spans="1:6" x14ac:dyDescent="0.25">
      <c r="A278" s="102">
        <v>42298</v>
      </c>
      <c r="B278" s="475">
        <v>41</v>
      </c>
      <c r="C278" s="475"/>
      <c r="D278" s="1"/>
      <c r="E278" s="1"/>
      <c r="F278" s="1"/>
    </row>
    <row r="279" spans="1:6" x14ac:dyDescent="0.25">
      <c r="A279" s="1"/>
      <c r="B279" s="186" t="s">
        <v>294</v>
      </c>
      <c r="C279" s="149"/>
      <c r="D279" s="149"/>
      <c r="E279" s="150">
        <f>+D280</f>
        <v>5.1999999999999991E-2</v>
      </c>
      <c r="F279" s="1"/>
    </row>
    <row r="280" spans="1:6" x14ac:dyDescent="0.25">
      <c r="A280" s="1"/>
      <c r="B280" s="1" t="s">
        <v>368</v>
      </c>
      <c r="C280" s="1"/>
      <c r="D280" s="34">
        <f>+'hoja de costos '!E166</f>
        <v>5.1999999999999991E-2</v>
      </c>
      <c r="E280" s="1"/>
      <c r="F280" s="1"/>
    </row>
    <row r="281" spans="1:6" ht="15.75" x14ac:dyDescent="0.25">
      <c r="A281" s="1"/>
      <c r="B281" s="1"/>
      <c r="C281" s="188" t="s">
        <v>200</v>
      </c>
      <c r="D281" s="68"/>
      <c r="E281" s="68"/>
      <c r="F281" s="69">
        <f>+D282</f>
        <v>5.1999999999999991E-2</v>
      </c>
    </row>
    <row r="282" spans="1:6" x14ac:dyDescent="0.25">
      <c r="A282" s="1"/>
      <c r="B282" s="1"/>
      <c r="C282" s="127" t="s">
        <v>145</v>
      </c>
      <c r="D282" s="34">
        <f>+'kardex reactivos 2'!H372</f>
        <v>5.1999999999999991E-2</v>
      </c>
      <c r="E282" s="1"/>
      <c r="F282" s="1"/>
    </row>
    <row r="283" spans="1:6" x14ac:dyDescent="0.25">
      <c r="A283" s="1"/>
      <c r="B283" s="1" t="s">
        <v>369</v>
      </c>
      <c r="C283" s="1"/>
      <c r="D283" s="1"/>
      <c r="E283" s="1"/>
      <c r="F283" s="1"/>
    </row>
    <row r="284" spans="1:6" x14ac:dyDescent="0.25">
      <c r="A284" s="151">
        <v>42298</v>
      </c>
      <c r="B284" s="484">
        <v>42</v>
      </c>
      <c r="C284" s="485"/>
      <c r="D284" s="89"/>
      <c r="E284" s="89"/>
      <c r="F284" s="89"/>
    </row>
    <row r="285" spans="1:6" x14ac:dyDescent="0.25">
      <c r="A285" s="89"/>
      <c r="B285" s="273" t="s">
        <v>508</v>
      </c>
      <c r="C285" s="273"/>
      <c r="D285" s="273"/>
      <c r="E285" s="274">
        <f>+F286</f>
        <v>0.15900000000000003</v>
      </c>
      <c r="F285" s="89"/>
    </row>
    <row r="286" spans="1:6" x14ac:dyDescent="0.25">
      <c r="A286" s="89"/>
      <c r="B286" s="89"/>
      <c r="C286" s="208" t="s">
        <v>204</v>
      </c>
      <c r="D286" s="208"/>
      <c r="E286" s="208"/>
      <c r="F286" s="209">
        <f>+D287+D288+D289+D290</f>
        <v>0.15900000000000003</v>
      </c>
    </row>
    <row r="287" spans="1:6" ht="16.5" thickBot="1" x14ac:dyDescent="0.3">
      <c r="A287" s="89"/>
      <c r="B287" s="89"/>
      <c r="C287" s="153" t="s">
        <v>29</v>
      </c>
      <c r="D287" s="152">
        <f>+'kardex materiales'!H282</f>
        <v>8.9999999999999993E-3</v>
      </c>
      <c r="E287" s="89"/>
      <c r="F287" s="89"/>
    </row>
    <row r="288" spans="1:6" ht="16.5" thickBot="1" x14ac:dyDescent="0.3">
      <c r="A288" s="89"/>
      <c r="B288" s="89"/>
      <c r="C288" s="153" t="s">
        <v>24</v>
      </c>
      <c r="D288" s="152">
        <f>+'kardex materiales'!H213</f>
        <v>0.05</v>
      </c>
      <c r="E288" s="89"/>
      <c r="F288" s="89"/>
    </row>
    <row r="289" spans="1:6" ht="16.5" thickBot="1" x14ac:dyDescent="0.3">
      <c r="A289" s="89"/>
      <c r="B289" s="89"/>
      <c r="C289" s="153" t="s">
        <v>31</v>
      </c>
      <c r="D289" s="89">
        <f>+'kardex materiales'!H312</f>
        <v>0.05</v>
      </c>
      <c r="E289" s="89"/>
      <c r="F289" s="89"/>
    </row>
    <row r="290" spans="1:6" ht="16.5" thickBot="1" x14ac:dyDescent="0.3">
      <c r="A290" s="89"/>
      <c r="B290" s="89"/>
      <c r="C290" s="153" t="s">
        <v>313</v>
      </c>
      <c r="D290" s="152">
        <f>+'kardex materiales'!H213</f>
        <v>0.05</v>
      </c>
      <c r="E290" s="89"/>
      <c r="F290" s="89"/>
    </row>
    <row r="291" spans="1:6" x14ac:dyDescent="0.25">
      <c r="A291" s="1"/>
      <c r="B291" s="1" t="s">
        <v>372</v>
      </c>
      <c r="C291" s="1"/>
      <c r="D291" s="1"/>
      <c r="E291" s="1"/>
      <c r="F291" s="1"/>
    </row>
    <row r="292" spans="1:6" x14ac:dyDescent="0.25">
      <c r="A292" s="102">
        <v>42299</v>
      </c>
      <c r="B292" s="475">
        <v>43</v>
      </c>
      <c r="C292" s="475"/>
      <c r="D292" s="1"/>
      <c r="E292" s="1"/>
      <c r="F292" s="1"/>
    </row>
    <row r="293" spans="1:6" x14ac:dyDescent="0.25">
      <c r="A293" s="1"/>
      <c r="B293" s="194" t="s">
        <v>318</v>
      </c>
      <c r="C293" s="194"/>
      <c r="D293" s="194"/>
      <c r="E293" s="195">
        <f>+F294</f>
        <v>1.1523892973921728</v>
      </c>
      <c r="F293" s="1"/>
    </row>
    <row r="294" spans="1:6" x14ac:dyDescent="0.25">
      <c r="A294" s="1"/>
      <c r="B294" s="110"/>
      <c r="C294" s="186" t="s">
        <v>294</v>
      </c>
      <c r="D294" s="149"/>
      <c r="E294" s="149"/>
      <c r="F294" s="150">
        <f>+D295</f>
        <v>1.1523892973921728</v>
      </c>
    </row>
    <row r="295" spans="1:6" x14ac:dyDescent="0.25">
      <c r="A295" s="1"/>
      <c r="B295" s="110"/>
      <c r="C295" s="1" t="s">
        <v>368</v>
      </c>
      <c r="D295" s="34">
        <f>+'hoja de costos '!Q165</f>
        <v>1.1523892973921728</v>
      </c>
      <c r="E295" s="1"/>
      <c r="F295" s="1"/>
    </row>
    <row r="296" spans="1:6" x14ac:dyDescent="0.25">
      <c r="A296" s="1"/>
      <c r="B296" s="479" t="s">
        <v>367</v>
      </c>
      <c r="C296" s="479"/>
      <c r="D296" s="1"/>
      <c r="E296" s="1"/>
      <c r="F296" s="1"/>
    </row>
    <row r="297" spans="1:6" x14ac:dyDescent="0.25">
      <c r="A297" s="102">
        <v>42299</v>
      </c>
      <c r="B297" s="475">
        <v>44</v>
      </c>
      <c r="C297" s="475"/>
      <c r="D297" s="1"/>
      <c r="E297" s="1"/>
      <c r="F297" s="1"/>
    </row>
    <row r="298" spans="1:6" x14ac:dyDescent="0.25">
      <c r="A298" s="1"/>
      <c r="B298" s="196" t="s">
        <v>207</v>
      </c>
      <c r="C298" s="196"/>
      <c r="D298" s="196"/>
      <c r="E298" s="196">
        <v>7.58</v>
      </c>
      <c r="F298" s="1"/>
    </row>
    <row r="299" spans="1:6" x14ac:dyDescent="0.25">
      <c r="A299" s="1"/>
      <c r="B299" s="1"/>
      <c r="C299" s="197" t="s">
        <v>324</v>
      </c>
      <c r="D299" s="197"/>
      <c r="E299" s="197"/>
      <c r="F299" s="197">
        <v>7.58</v>
      </c>
    </row>
    <row r="300" spans="1:6" x14ac:dyDescent="0.25">
      <c r="A300" s="1"/>
      <c r="B300" s="1" t="s">
        <v>325</v>
      </c>
      <c r="C300" s="1"/>
      <c r="D300" s="1"/>
      <c r="E300" s="1"/>
      <c r="F300" s="1"/>
    </row>
    <row r="301" spans="1:6" x14ac:dyDescent="0.25">
      <c r="A301" s="102">
        <v>42299</v>
      </c>
      <c r="B301" s="472">
        <v>45</v>
      </c>
      <c r="C301" s="473"/>
      <c r="D301" s="1"/>
      <c r="E301" s="1"/>
      <c r="F301" s="1"/>
    </row>
    <row r="302" spans="1:6" x14ac:dyDescent="0.25">
      <c r="A302" s="1"/>
      <c r="B302" s="186" t="s">
        <v>294</v>
      </c>
      <c r="C302" s="149"/>
      <c r="D302" s="149"/>
      <c r="E302" s="150">
        <f>+D303</f>
        <v>7.7429999999999999E-2</v>
      </c>
      <c r="F302" s="1"/>
    </row>
    <row r="303" spans="1:6" x14ac:dyDescent="0.25">
      <c r="A303" s="1"/>
      <c r="B303" s="1" t="s">
        <v>373</v>
      </c>
      <c r="C303" s="1"/>
      <c r="D303" s="34">
        <f>+'hoja de costos '!E184</f>
        <v>7.7429999999999999E-2</v>
      </c>
      <c r="E303" s="1"/>
      <c r="F303" s="1"/>
    </row>
    <row r="304" spans="1:6" ht="15.75" x14ac:dyDescent="0.25">
      <c r="A304" s="1"/>
      <c r="B304" s="1"/>
      <c r="C304" s="188" t="s">
        <v>200</v>
      </c>
      <c r="D304" s="68"/>
      <c r="E304" s="68"/>
      <c r="F304" s="69">
        <f>+D305+D306</f>
        <v>7.7429999999999999E-2</v>
      </c>
    </row>
    <row r="305" spans="1:6" ht="15.75" x14ac:dyDescent="0.25">
      <c r="A305" s="1"/>
      <c r="B305" s="1"/>
      <c r="C305" s="37" t="s">
        <v>175</v>
      </c>
      <c r="D305" s="34">
        <f>+'hoja de costos '!E180</f>
        <v>4.7880000000000006E-2</v>
      </c>
      <c r="E305" s="1"/>
      <c r="F305" s="1"/>
    </row>
    <row r="306" spans="1:6" ht="15.75" x14ac:dyDescent="0.25">
      <c r="A306" s="1"/>
      <c r="B306" s="1"/>
      <c r="C306" s="37" t="s">
        <v>241</v>
      </c>
      <c r="D306" s="34">
        <f>+'hoja de costos '!E181</f>
        <v>2.955E-2</v>
      </c>
      <c r="E306" s="1"/>
      <c r="F306" s="1"/>
    </row>
    <row r="307" spans="1:6" x14ac:dyDescent="0.25">
      <c r="A307" s="1"/>
      <c r="B307" s="1" t="s">
        <v>374</v>
      </c>
      <c r="C307" s="1"/>
      <c r="D307" s="1"/>
      <c r="E307" s="1"/>
      <c r="F307" s="1"/>
    </row>
    <row r="308" spans="1:6" x14ac:dyDescent="0.25">
      <c r="A308" s="102">
        <v>42299</v>
      </c>
      <c r="B308" s="475">
        <v>46</v>
      </c>
      <c r="C308" s="475"/>
      <c r="D308" s="1"/>
      <c r="E308" s="1"/>
      <c r="F308" s="1"/>
    </row>
    <row r="309" spans="1:6" x14ac:dyDescent="0.25">
      <c r="A309" s="1"/>
      <c r="B309" s="222" t="s">
        <v>508</v>
      </c>
      <c r="C309" s="222"/>
      <c r="D309" s="222"/>
      <c r="E309" s="223">
        <f>+F310</f>
        <v>0.23739999999999997</v>
      </c>
      <c r="F309" s="1"/>
    </row>
    <row r="310" spans="1:6" x14ac:dyDescent="0.25">
      <c r="A310" s="1"/>
      <c r="B310" s="1"/>
      <c r="C310" s="190" t="s">
        <v>204</v>
      </c>
      <c r="D310" s="190"/>
      <c r="E310" s="190"/>
      <c r="F310" s="191">
        <f>+D311+D312+D313+D314</f>
        <v>0.23739999999999997</v>
      </c>
    </row>
    <row r="311" spans="1:6" ht="15.75" x14ac:dyDescent="0.25">
      <c r="A311" s="1"/>
      <c r="B311" s="1"/>
      <c r="C311" s="37" t="s">
        <v>33</v>
      </c>
      <c r="D311" s="34">
        <f>+'kardex materiales'!H344</f>
        <v>4.4999999999999998E-2</v>
      </c>
      <c r="E311" s="1"/>
      <c r="F311" s="1"/>
    </row>
    <row r="312" spans="1:6" ht="15.75" x14ac:dyDescent="0.25">
      <c r="A312" s="1"/>
      <c r="B312" s="1"/>
      <c r="C312" s="37" t="s">
        <v>25</v>
      </c>
      <c r="D312" s="34">
        <f>+'kardex materiales'!H230</f>
        <v>8.2399999999999987E-2</v>
      </c>
      <c r="E312" s="1"/>
      <c r="F312" s="1"/>
    </row>
    <row r="313" spans="1:6" ht="15.75" x14ac:dyDescent="0.25">
      <c r="A313" s="1"/>
      <c r="B313" s="1"/>
      <c r="C313" s="37" t="s">
        <v>23</v>
      </c>
      <c r="D313" s="1">
        <f>+'kardex materiales'!H194</f>
        <v>2.0000000000000004E-2</v>
      </c>
      <c r="E313" s="1"/>
      <c r="F313" s="1"/>
    </row>
    <row r="314" spans="1:6" ht="15.75" x14ac:dyDescent="0.25">
      <c r="A314" s="1"/>
      <c r="B314" s="1"/>
      <c r="C314" s="37" t="s">
        <v>26</v>
      </c>
      <c r="D314" s="34">
        <f>+'kardex materiales'!H251</f>
        <v>0.09</v>
      </c>
      <c r="E314" s="1"/>
      <c r="F314" s="1"/>
    </row>
    <row r="315" spans="1:6" x14ac:dyDescent="0.25">
      <c r="A315" s="1"/>
      <c r="B315" s="1" t="s">
        <v>376</v>
      </c>
      <c r="C315" s="1"/>
      <c r="D315" s="1"/>
      <c r="E315" s="1"/>
      <c r="F315" s="1"/>
    </row>
    <row r="316" spans="1:6" x14ac:dyDescent="0.25">
      <c r="A316" s="102">
        <v>42300</v>
      </c>
      <c r="B316" s="475">
        <v>47</v>
      </c>
      <c r="C316" s="475"/>
      <c r="D316" s="1"/>
      <c r="E316" s="1"/>
      <c r="F316" s="1"/>
    </row>
    <row r="317" spans="1:6" x14ac:dyDescent="0.25">
      <c r="A317" s="1"/>
      <c r="B317" s="194" t="s">
        <v>318</v>
      </c>
      <c r="C317" s="194"/>
      <c r="D317" s="194"/>
      <c r="E317" s="195">
        <f>+F318</f>
        <v>1.8380528758274766</v>
      </c>
      <c r="F317" s="1"/>
    </row>
    <row r="318" spans="1:6" x14ac:dyDescent="0.25">
      <c r="A318" s="1"/>
      <c r="B318" s="110"/>
      <c r="C318" s="186" t="s">
        <v>294</v>
      </c>
      <c r="D318" s="149"/>
      <c r="E318" s="149"/>
      <c r="F318" s="150">
        <f>+D319</f>
        <v>1.8380528758274766</v>
      </c>
    </row>
    <row r="319" spans="1:6" x14ac:dyDescent="0.25">
      <c r="A319" s="1"/>
      <c r="B319" s="110"/>
      <c r="C319" s="1" t="s">
        <v>373</v>
      </c>
      <c r="D319" s="34">
        <f>+'hoja de costos '!Q183</f>
        <v>1.8380528758274766</v>
      </c>
      <c r="E319" s="1"/>
      <c r="F319" s="1"/>
    </row>
    <row r="320" spans="1:6" x14ac:dyDescent="0.25">
      <c r="A320" s="1"/>
      <c r="B320" s="479" t="s">
        <v>377</v>
      </c>
      <c r="C320" s="479"/>
      <c r="D320" s="1"/>
      <c r="E320" s="1"/>
      <c r="F320" s="1"/>
    </row>
    <row r="321" spans="1:6" x14ac:dyDescent="0.25">
      <c r="A321" s="102">
        <v>42300</v>
      </c>
      <c r="B321" s="475">
        <v>48</v>
      </c>
      <c r="C321" s="475"/>
      <c r="D321" s="1"/>
      <c r="E321" s="1"/>
      <c r="F321" s="1"/>
    </row>
    <row r="322" spans="1:6" x14ac:dyDescent="0.25">
      <c r="A322" s="1"/>
      <c r="B322" s="196" t="s">
        <v>207</v>
      </c>
      <c r="C322" s="196"/>
      <c r="D322" s="196"/>
      <c r="E322" s="196">
        <v>3.64</v>
      </c>
      <c r="F322" s="1"/>
    </row>
    <row r="323" spans="1:6" x14ac:dyDescent="0.25">
      <c r="A323" s="1"/>
      <c r="B323" s="1"/>
      <c r="C323" s="197" t="s">
        <v>324</v>
      </c>
      <c r="D323" s="197"/>
      <c r="E323" s="197"/>
      <c r="F323" s="197">
        <v>3.64</v>
      </c>
    </row>
    <row r="324" spans="1:6" x14ac:dyDescent="0.25">
      <c r="A324" s="1"/>
      <c r="B324" s="1" t="s">
        <v>325</v>
      </c>
      <c r="C324" s="1"/>
      <c r="D324" s="1"/>
      <c r="E324" s="1"/>
      <c r="F324" s="1"/>
    </row>
    <row r="325" spans="1:6" x14ac:dyDescent="0.25">
      <c r="A325" s="102">
        <v>42300</v>
      </c>
      <c r="B325" s="475">
        <v>49</v>
      </c>
      <c r="C325" s="475"/>
      <c r="D325" s="1"/>
      <c r="E325" s="1"/>
      <c r="F325" s="1"/>
    </row>
    <row r="326" spans="1:6" x14ac:dyDescent="0.25">
      <c r="A326" s="1"/>
      <c r="B326" s="186" t="s">
        <v>294</v>
      </c>
      <c r="C326" s="149"/>
      <c r="D326" s="149"/>
      <c r="E326" s="150">
        <f>+D327</f>
        <v>0.36320666666666668</v>
      </c>
      <c r="F326" s="1"/>
    </row>
    <row r="327" spans="1:6" x14ac:dyDescent="0.25">
      <c r="A327" s="1"/>
      <c r="B327" s="1" t="s">
        <v>378</v>
      </c>
      <c r="C327" s="1"/>
      <c r="D327" s="34">
        <f>+'hoja de costos '!E203</f>
        <v>0.36320666666666668</v>
      </c>
      <c r="E327" s="1"/>
      <c r="F327" s="1"/>
    </row>
    <row r="328" spans="1:6" ht="15.75" x14ac:dyDescent="0.25">
      <c r="A328" s="1"/>
      <c r="B328" s="1"/>
      <c r="C328" s="188" t="s">
        <v>200</v>
      </c>
      <c r="D328" s="68"/>
      <c r="E328" s="68"/>
      <c r="F328" s="69">
        <f>+D329+D330+D331+D332+D333+D334+D335+D336</f>
        <v>0.36320666666666668</v>
      </c>
    </row>
    <row r="329" spans="1:6" ht="15.75" x14ac:dyDescent="0.25">
      <c r="A329" s="1"/>
      <c r="B329" s="1"/>
      <c r="C329" s="37" t="s">
        <v>136</v>
      </c>
      <c r="D329" s="34">
        <f>+'hoja de costos '!E195</f>
        <v>4.4999999999999998E-2</v>
      </c>
      <c r="E329" s="1"/>
      <c r="F329" s="1"/>
    </row>
    <row r="330" spans="1:6" ht="15.75" x14ac:dyDescent="0.25">
      <c r="A330" s="1"/>
      <c r="B330" s="1"/>
      <c r="C330" s="37" t="s">
        <v>138</v>
      </c>
      <c r="D330" s="34">
        <f>+'hoja de costos '!E196</f>
        <v>6.2E-2</v>
      </c>
      <c r="E330" s="1"/>
      <c r="F330" s="1"/>
    </row>
    <row r="331" spans="1:6" ht="15.75" x14ac:dyDescent="0.25">
      <c r="A331" s="1"/>
      <c r="B331" s="1"/>
      <c r="C331" s="37" t="s">
        <v>139</v>
      </c>
      <c r="D331" s="34">
        <f>+'hoja de costos '!E197</f>
        <v>4.931E-2</v>
      </c>
      <c r="E331" s="1"/>
      <c r="F331" s="1"/>
    </row>
    <row r="332" spans="1:6" ht="15.75" x14ac:dyDescent="0.25">
      <c r="A332" s="1"/>
      <c r="B332" s="1"/>
      <c r="C332" s="37" t="s">
        <v>140</v>
      </c>
      <c r="D332" s="34">
        <f>+'hoja de costos '!E198</f>
        <v>6.5000000000000002E-2</v>
      </c>
      <c r="E332" s="1"/>
      <c r="F332" s="1"/>
    </row>
    <row r="333" spans="1:6" ht="15.75" x14ac:dyDescent="0.25">
      <c r="A333" s="1"/>
      <c r="B333" s="1"/>
      <c r="C333" s="37" t="s">
        <v>141</v>
      </c>
      <c r="D333" s="34">
        <f>+'hoja de costos '!E199</f>
        <v>3.9E-2</v>
      </c>
      <c r="E333" s="1"/>
      <c r="F333" s="1"/>
    </row>
    <row r="334" spans="1:6" ht="15.75" x14ac:dyDescent="0.25">
      <c r="A334" s="1"/>
      <c r="B334" s="1"/>
      <c r="C334" s="37" t="s">
        <v>142</v>
      </c>
      <c r="D334" s="34">
        <f>+'hoja de costos '!E200</f>
        <v>5.4999999999999993E-2</v>
      </c>
      <c r="E334" s="1"/>
      <c r="F334" s="1"/>
    </row>
    <row r="335" spans="1:6" ht="15.75" x14ac:dyDescent="0.25">
      <c r="A335" s="1"/>
      <c r="B335" s="1"/>
      <c r="C335" s="37" t="s">
        <v>143</v>
      </c>
      <c r="D335" s="34">
        <f>+'hoja de costos '!E201</f>
        <v>3.735999999999999E-2</v>
      </c>
      <c r="E335" s="1"/>
      <c r="F335" s="1"/>
    </row>
    <row r="336" spans="1:6" ht="15.75" x14ac:dyDescent="0.25">
      <c r="A336" s="1"/>
      <c r="B336" s="1"/>
      <c r="C336" s="37" t="s">
        <v>238</v>
      </c>
      <c r="D336" s="34">
        <f>+'hoja de costos '!E202</f>
        <v>1.0536666666666666E-2</v>
      </c>
      <c r="E336" s="1"/>
      <c r="F336" s="1"/>
    </row>
    <row r="337" spans="1:6" x14ac:dyDescent="0.25">
      <c r="A337" s="1"/>
      <c r="B337" s="474" t="s">
        <v>379</v>
      </c>
      <c r="C337" s="474"/>
      <c r="D337" s="1"/>
      <c r="E337" s="1"/>
      <c r="F337" s="1"/>
    </row>
    <row r="338" spans="1:6" x14ac:dyDescent="0.25">
      <c r="A338" s="102">
        <v>42300</v>
      </c>
      <c r="B338" s="475">
        <v>50</v>
      </c>
      <c r="C338" s="475"/>
      <c r="D338" s="1"/>
      <c r="E338" s="1"/>
      <c r="F338" s="1"/>
    </row>
    <row r="339" spans="1:6" x14ac:dyDescent="0.25">
      <c r="A339" s="1"/>
      <c r="B339" s="222" t="s">
        <v>508</v>
      </c>
      <c r="C339" s="222"/>
      <c r="D339" s="222"/>
      <c r="E339" s="223">
        <f>+F340</f>
        <v>0.19149999999999998</v>
      </c>
      <c r="F339" s="1"/>
    </row>
    <row r="340" spans="1:6" x14ac:dyDescent="0.25">
      <c r="A340" s="1"/>
      <c r="B340" s="2"/>
      <c r="C340" s="190" t="s">
        <v>204</v>
      </c>
      <c r="D340" s="190"/>
      <c r="E340" s="190"/>
      <c r="F340" s="191">
        <f>+D341+D342+D343+D344+D345</f>
        <v>0.19149999999999998</v>
      </c>
    </row>
    <row r="341" spans="1:6" ht="15.75" x14ac:dyDescent="0.25">
      <c r="A341" s="1"/>
      <c r="B341" s="2"/>
      <c r="C341" s="124" t="s">
        <v>311</v>
      </c>
      <c r="D341" s="34">
        <f>+'kardex materiales'!H60</f>
        <v>4.2999999999999997E-2</v>
      </c>
      <c r="E341" s="1"/>
      <c r="F341" s="1"/>
    </row>
    <row r="342" spans="1:6" ht="15.75" x14ac:dyDescent="0.25">
      <c r="A342" s="1"/>
      <c r="B342" s="2"/>
      <c r="C342" s="124" t="s">
        <v>315</v>
      </c>
      <c r="D342" s="34">
        <f>+'kardex materiales'!H98</f>
        <v>2.4E-2</v>
      </c>
      <c r="E342" s="1"/>
      <c r="F342" s="1"/>
    </row>
    <row r="343" spans="1:6" ht="15.75" x14ac:dyDescent="0.25">
      <c r="A343" s="1"/>
      <c r="B343" s="2"/>
      <c r="C343" s="124" t="s">
        <v>312</v>
      </c>
      <c r="D343" s="34">
        <f>+'kardex materiales'!H375</f>
        <v>3.0999999999999993E-2</v>
      </c>
      <c r="E343" s="1"/>
      <c r="F343" s="1"/>
    </row>
    <row r="344" spans="1:6" ht="15.75" x14ac:dyDescent="0.25">
      <c r="A344" s="1"/>
      <c r="B344" s="2"/>
      <c r="C344" s="124" t="s">
        <v>316</v>
      </c>
      <c r="D344" s="34">
        <f>+'kardex materiales'!H268</f>
        <v>6.3499999999999987E-2</v>
      </c>
      <c r="E344" s="1"/>
      <c r="F344" s="1"/>
    </row>
    <row r="345" spans="1:6" ht="15.75" x14ac:dyDescent="0.25">
      <c r="A345" s="1"/>
      <c r="B345" s="2"/>
      <c r="C345" s="124" t="s">
        <v>17</v>
      </c>
      <c r="D345" s="34">
        <f>+'kardex materiales'!H78</f>
        <v>0.03</v>
      </c>
      <c r="E345" s="1"/>
      <c r="F345" s="1"/>
    </row>
    <row r="346" spans="1:6" x14ac:dyDescent="0.25">
      <c r="A346" s="1"/>
      <c r="B346" s="471" t="s">
        <v>381</v>
      </c>
      <c r="C346" s="471"/>
      <c r="D346" s="1"/>
      <c r="E346" s="1"/>
      <c r="F346" s="1"/>
    </row>
    <row r="347" spans="1:6" x14ac:dyDescent="0.25">
      <c r="A347" s="102">
        <v>42301</v>
      </c>
      <c r="B347" s="475">
        <v>51</v>
      </c>
      <c r="C347" s="475"/>
      <c r="D347" s="1"/>
      <c r="E347" s="1"/>
      <c r="F347" s="1"/>
    </row>
    <row r="348" spans="1:6" x14ac:dyDescent="0.25">
      <c r="A348" s="1"/>
      <c r="B348" s="194" t="s">
        <v>318</v>
      </c>
      <c r="C348" s="194"/>
      <c r="D348" s="194"/>
      <c r="E348" s="195">
        <f>+F349</f>
        <v>3.6643745588431855</v>
      </c>
      <c r="F348" s="1"/>
    </row>
    <row r="349" spans="1:6" x14ac:dyDescent="0.25">
      <c r="A349" s="1"/>
      <c r="B349" s="110"/>
      <c r="C349" s="186" t="s">
        <v>294</v>
      </c>
      <c r="D349" s="149"/>
      <c r="E349" s="149"/>
      <c r="F349" s="150">
        <f>+D350</f>
        <v>3.6643745588431855</v>
      </c>
    </row>
    <row r="350" spans="1:6" x14ac:dyDescent="0.25">
      <c r="A350" s="1"/>
      <c r="B350" s="110"/>
      <c r="C350" s="1" t="s">
        <v>378</v>
      </c>
      <c r="D350" s="34">
        <f>+'hoja de costos '!Q198</f>
        <v>3.6643745588431855</v>
      </c>
      <c r="E350" s="1"/>
      <c r="F350" s="1"/>
    </row>
    <row r="351" spans="1:6" x14ac:dyDescent="0.25">
      <c r="A351" s="1"/>
      <c r="B351" s="479" t="s">
        <v>382</v>
      </c>
      <c r="C351" s="479"/>
      <c r="D351" s="1"/>
      <c r="E351" s="1"/>
      <c r="F351" s="1"/>
    </row>
    <row r="352" spans="1:6" x14ac:dyDescent="0.25">
      <c r="A352" s="102">
        <v>42301</v>
      </c>
      <c r="B352" s="475">
        <v>52</v>
      </c>
      <c r="C352" s="475"/>
      <c r="D352" s="1"/>
      <c r="E352" s="1"/>
      <c r="F352" s="1"/>
    </row>
    <row r="353" spans="1:6" x14ac:dyDescent="0.25">
      <c r="A353" s="1"/>
      <c r="B353" s="196" t="s">
        <v>207</v>
      </c>
      <c r="C353" s="196"/>
      <c r="D353" s="196"/>
      <c r="E353" s="196">
        <v>9.89</v>
      </c>
      <c r="F353" s="1"/>
    </row>
    <row r="354" spans="1:6" x14ac:dyDescent="0.25">
      <c r="A354" s="1"/>
      <c r="B354" s="1"/>
      <c r="C354" s="207" t="s">
        <v>324</v>
      </c>
      <c r="D354" s="207"/>
      <c r="E354" s="207"/>
      <c r="F354" s="207">
        <v>9.89</v>
      </c>
    </row>
    <row r="355" spans="1:6" x14ac:dyDescent="0.25">
      <c r="A355" s="1"/>
      <c r="B355" s="1" t="s">
        <v>325</v>
      </c>
      <c r="C355" s="1"/>
      <c r="D355" s="1"/>
      <c r="E355" s="1"/>
      <c r="F355" s="1"/>
    </row>
    <row r="356" spans="1:6" x14ac:dyDescent="0.25">
      <c r="A356" s="102">
        <v>42303</v>
      </c>
      <c r="B356" s="475">
        <v>53</v>
      </c>
      <c r="C356" s="475"/>
      <c r="D356" s="1"/>
      <c r="E356" s="1"/>
      <c r="F356" s="1"/>
    </row>
    <row r="357" spans="1:6" x14ac:dyDescent="0.25">
      <c r="A357" s="1"/>
      <c r="B357" s="149" t="s">
        <v>294</v>
      </c>
      <c r="C357" s="149"/>
      <c r="D357" s="149"/>
      <c r="E357" s="150">
        <f>+D358</f>
        <v>5.1999999999999991E-2</v>
      </c>
      <c r="F357" s="1"/>
    </row>
    <row r="358" spans="1:6" x14ac:dyDescent="0.25">
      <c r="A358" s="1"/>
      <c r="B358" s="1" t="s">
        <v>383</v>
      </c>
      <c r="C358" s="1"/>
      <c r="D358" s="34">
        <f>+'hoja de costos '!E218</f>
        <v>5.1999999999999991E-2</v>
      </c>
      <c r="E358" s="1"/>
      <c r="F358" s="1"/>
    </row>
    <row r="359" spans="1:6" x14ac:dyDescent="0.25">
      <c r="A359" s="1"/>
      <c r="B359" s="1"/>
      <c r="C359" s="68" t="s">
        <v>200</v>
      </c>
      <c r="D359" s="68"/>
      <c r="E359" s="68"/>
      <c r="F359" s="69">
        <f>+D360</f>
        <v>5.1999999999999991E-2</v>
      </c>
    </row>
    <row r="360" spans="1:6" x14ac:dyDescent="0.25">
      <c r="A360" s="1"/>
      <c r="B360" s="1"/>
      <c r="C360" s="1" t="s">
        <v>145</v>
      </c>
      <c r="D360" s="34">
        <f>+'kardex reactivos 2'!H373</f>
        <v>5.1999999999999991E-2</v>
      </c>
      <c r="E360" s="1"/>
      <c r="F360" s="1"/>
    </row>
    <row r="361" spans="1:6" x14ac:dyDescent="0.25">
      <c r="A361" s="1"/>
      <c r="B361" s="1" t="s">
        <v>384</v>
      </c>
      <c r="C361" s="1"/>
      <c r="D361" s="1"/>
      <c r="E361" s="1"/>
      <c r="F361" s="1"/>
    </row>
    <row r="362" spans="1:6" x14ac:dyDescent="0.25">
      <c r="A362" s="102">
        <v>42303</v>
      </c>
      <c r="B362" s="472">
        <v>54</v>
      </c>
      <c r="C362" s="473"/>
      <c r="D362" s="1"/>
      <c r="E362" s="1"/>
      <c r="F362" s="1"/>
    </row>
    <row r="363" spans="1:6" x14ac:dyDescent="0.25">
      <c r="A363" s="1"/>
      <c r="B363" s="222" t="s">
        <v>508</v>
      </c>
      <c r="C363" s="222"/>
      <c r="D363" s="222"/>
      <c r="E363" s="223">
        <f>+F364</f>
        <v>0.12900000000000003</v>
      </c>
      <c r="F363" s="1"/>
    </row>
    <row r="364" spans="1:6" x14ac:dyDescent="0.25">
      <c r="A364" s="1"/>
      <c r="B364" s="1"/>
      <c r="C364" s="190" t="s">
        <v>204</v>
      </c>
      <c r="D364" s="190"/>
      <c r="E364" s="190"/>
      <c r="F364" s="191">
        <f>+D365+D366+D367+D368</f>
        <v>0.12900000000000003</v>
      </c>
    </row>
    <row r="365" spans="1:6" ht="15.75" x14ac:dyDescent="0.25">
      <c r="A365" s="1"/>
      <c r="B365" s="1"/>
      <c r="C365" s="154" t="s">
        <v>29</v>
      </c>
      <c r="D365" s="34">
        <f>+'kardex materiales'!H283</f>
        <v>8.9999999999999993E-3</v>
      </c>
      <c r="E365" s="1"/>
      <c r="F365" s="1"/>
    </row>
    <row r="366" spans="1:6" ht="15.75" x14ac:dyDescent="0.25">
      <c r="A366" s="1"/>
      <c r="B366" s="1"/>
      <c r="C366" s="154" t="s">
        <v>24</v>
      </c>
      <c r="D366" s="1">
        <f>+'kardex materiales'!H214</f>
        <v>0.05</v>
      </c>
      <c r="E366" s="1"/>
      <c r="F366" s="1"/>
    </row>
    <row r="367" spans="1:6" ht="15.75" x14ac:dyDescent="0.25">
      <c r="A367" s="1"/>
      <c r="B367" s="1"/>
      <c r="C367" s="154" t="s">
        <v>31</v>
      </c>
      <c r="D367" s="1">
        <f>+'kardex materiales'!H313</f>
        <v>0.05</v>
      </c>
      <c r="E367" s="1"/>
      <c r="F367" s="1"/>
    </row>
    <row r="368" spans="1:6" ht="15.75" x14ac:dyDescent="0.25">
      <c r="A368" s="1"/>
      <c r="B368" s="1"/>
      <c r="C368" s="154" t="s">
        <v>313</v>
      </c>
      <c r="D368" s="1">
        <f>+'kardex materiales'!H196</f>
        <v>2.0000000000000007E-2</v>
      </c>
      <c r="E368" s="1"/>
      <c r="F368" s="1"/>
    </row>
    <row r="369" spans="1:6" x14ac:dyDescent="0.25">
      <c r="A369" s="1"/>
      <c r="B369" s="1" t="s">
        <v>385</v>
      </c>
      <c r="C369" s="1"/>
      <c r="D369" s="1"/>
      <c r="E369" s="1"/>
      <c r="F369" s="1"/>
    </row>
    <row r="370" spans="1:6" x14ac:dyDescent="0.25">
      <c r="A370" s="102">
        <v>42304</v>
      </c>
      <c r="B370" s="472">
        <v>55</v>
      </c>
      <c r="C370" s="473"/>
      <c r="D370" s="1"/>
      <c r="E370" s="1"/>
      <c r="F370" s="1"/>
    </row>
    <row r="371" spans="1:6" x14ac:dyDescent="0.25">
      <c r="A371" s="1"/>
      <c r="B371" s="194" t="s">
        <v>318</v>
      </c>
      <c r="C371" s="194"/>
      <c r="D371" s="194"/>
      <c r="E371" s="195">
        <f>+F372</f>
        <v>1.1523892973921728</v>
      </c>
      <c r="F371" s="1"/>
    </row>
    <row r="372" spans="1:6" x14ac:dyDescent="0.25">
      <c r="A372" s="1"/>
      <c r="B372" s="1"/>
      <c r="C372" s="149" t="s">
        <v>294</v>
      </c>
      <c r="D372" s="149"/>
      <c r="E372" s="149"/>
      <c r="F372" s="150">
        <f>+D373</f>
        <v>1.1523892973921728</v>
      </c>
    </row>
    <row r="373" spans="1:6" x14ac:dyDescent="0.25">
      <c r="A373" s="1"/>
      <c r="B373" s="1"/>
      <c r="C373" s="1" t="s">
        <v>383</v>
      </c>
      <c r="D373" s="34">
        <f>+'hoja de costos '!Q217</f>
        <v>1.1523892973921728</v>
      </c>
      <c r="E373" s="1"/>
      <c r="F373" s="1"/>
    </row>
    <row r="374" spans="1:6" x14ac:dyDescent="0.25">
      <c r="A374" s="1"/>
      <c r="B374" s="1" t="s">
        <v>386</v>
      </c>
      <c r="C374" s="1"/>
      <c r="D374" s="1"/>
      <c r="E374" s="1"/>
      <c r="F374" s="1"/>
    </row>
    <row r="375" spans="1:6" x14ac:dyDescent="0.25">
      <c r="A375" s="102">
        <v>42304</v>
      </c>
      <c r="B375" s="472">
        <v>56</v>
      </c>
      <c r="C375" s="473"/>
      <c r="D375" s="1"/>
      <c r="E375" s="1"/>
      <c r="F375" s="1"/>
    </row>
    <row r="376" spans="1:6" x14ac:dyDescent="0.25">
      <c r="A376" s="1"/>
      <c r="B376" s="196" t="s">
        <v>207</v>
      </c>
      <c r="C376" s="196"/>
      <c r="D376" s="196"/>
      <c r="E376" s="196">
        <v>7.58</v>
      </c>
      <c r="F376" s="1"/>
    </row>
    <row r="377" spans="1:6" x14ac:dyDescent="0.25">
      <c r="A377" s="1"/>
      <c r="B377" s="1"/>
      <c r="C377" s="200" t="s">
        <v>324</v>
      </c>
      <c r="D377" s="200"/>
      <c r="E377" s="200"/>
      <c r="F377" s="200">
        <v>7.58</v>
      </c>
    </row>
    <row r="378" spans="1:6" x14ac:dyDescent="0.25">
      <c r="A378" s="1"/>
      <c r="B378" s="1" t="s">
        <v>325</v>
      </c>
      <c r="C378" s="1"/>
      <c r="D378" s="1"/>
      <c r="E378" s="1"/>
      <c r="F378" s="1"/>
    </row>
    <row r="379" spans="1:6" x14ac:dyDescent="0.25">
      <c r="A379" s="102">
        <v>42304</v>
      </c>
      <c r="B379" s="475">
        <v>57</v>
      </c>
      <c r="C379" s="475"/>
      <c r="D379" s="1"/>
      <c r="E379" s="1"/>
      <c r="F379" s="1"/>
    </row>
    <row r="380" spans="1:6" x14ac:dyDescent="0.25">
      <c r="A380" s="1"/>
      <c r="B380" s="149" t="s">
        <v>294</v>
      </c>
      <c r="C380" s="149"/>
      <c r="D380" s="149"/>
      <c r="E380" s="150">
        <f>+D381</f>
        <v>0.62652333333333332</v>
      </c>
      <c r="F380" s="1"/>
    </row>
    <row r="381" spans="1:6" x14ac:dyDescent="0.25">
      <c r="A381" s="1"/>
      <c r="B381" s="1" t="s">
        <v>391</v>
      </c>
      <c r="C381" s="1"/>
      <c r="D381" s="34">
        <f>+'hoja de costos '!E237</f>
        <v>0.62652333333333332</v>
      </c>
      <c r="E381" s="1"/>
      <c r="F381" s="1"/>
    </row>
    <row r="382" spans="1:6" x14ac:dyDescent="0.25">
      <c r="A382" s="1"/>
      <c r="B382" s="1"/>
      <c r="C382" s="68" t="s">
        <v>200</v>
      </c>
      <c r="D382" s="68"/>
      <c r="E382" s="68"/>
      <c r="F382" s="69">
        <f>+D383+D384+D385+D386+D387+D388+D389+D390+D391</f>
        <v>0.62652333333333332</v>
      </c>
    </row>
    <row r="383" spans="1:6" ht="15.75" x14ac:dyDescent="0.25">
      <c r="A383" s="1"/>
      <c r="B383" s="1"/>
      <c r="C383" s="54" t="s">
        <v>232</v>
      </c>
      <c r="D383" s="34">
        <f>+'hoja de costos '!E228</f>
        <v>0.13500000000000001</v>
      </c>
      <c r="E383" s="1"/>
      <c r="F383" s="1"/>
    </row>
    <row r="384" spans="1:6" ht="15.75" x14ac:dyDescent="0.25">
      <c r="A384" s="1"/>
      <c r="B384" s="1"/>
      <c r="C384" s="37" t="s">
        <v>233</v>
      </c>
      <c r="D384" s="34">
        <f>+'hoja de costos '!E229</f>
        <v>5.3399999999999996E-2</v>
      </c>
      <c r="E384" s="1"/>
      <c r="F384" s="1"/>
    </row>
    <row r="385" spans="1:6" ht="15.75" x14ac:dyDescent="0.25">
      <c r="A385" s="1"/>
      <c r="B385" s="1"/>
      <c r="C385" s="37" t="s">
        <v>234</v>
      </c>
      <c r="D385" s="34">
        <f>+'hoja de costos '!E230</f>
        <v>3.4979999999999997E-2</v>
      </c>
      <c r="E385" s="1"/>
      <c r="F385" s="1"/>
    </row>
    <row r="386" spans="1:6" ht="15.75" x14ac:dyDescent="0.25">
      <c r="A386" s="1"/>
      <c r="B386" s="1"/>
      <c r="C386" s="37" t="s">
        <v>98</v>
      </c>
      <c r="D386" s="34">
        <f>+'hoja de costos '!E231</f>
        <v>2.886E-2</v>
      </c>
      <c r="E386" s="1"/>
      <c r="F386" s="1"/>
    </row>
    <row r="387" spans="1:6" ht="15.75" x14ac:dyDescent="0.25">
      <c r="A387" s="1"/>
      <c r="B387" s="1"/>
      <c r="C387" s="37" t="s">
        <v>99</v>
      </c>
      <c r="D387" s="34">
        <f>+'hoja de costos '!E232</f>
        <v>5.6999999999999995E-2</v>
      </c>
      <c r="E387" s="1"/>
      <c r="F387" s="1"/>
    </row>
    <row r="388" spans="1:6" ht="15.75" x14ac:dyDescent="0.25">
      <c r="A388" s="1"/>
      <c r="B388" s="1"/>
      <c r="C388" s="37" t="s">
        <v>100</v>
      </c>
      <c r="D388" s="34">
        <f>+'hoja de costos '!E233</f>
        <v>0.1176</v>
      </c>
      <c r="E388" s="1"/>
      <c r="F388" s="1"/>
    </row>
    <row r="389" spans="1:6" ht="15.75" x14ac:dyDescent="0.25">
      <c r="A389" s="1"/>
      <c r="B389" s="1"/>
      <c r="C389" s="37" t="s">
        <v>235</v>
      </c>
      <c r="D389" s="34">
        <f>+'hoja de costos '!E234</f>
        <v>8.2959999999999992E-2</v>
      </c>
      <c r="E389" s="1"/>
      <c r="F389" s="1"/>
    </row>
    <row r="390" spans="1:6" ht="15.75" x14ac:dyDescent="0.25">
      <c r="A390" s="1"/>
      <c r="B390" s="1"/>
      <c r="C390" s="37" t="s">
        <v>236</v>
      </c>
      <c r="D390" s="34">
        <f>+'hoja de costos '!E235</f>
        <v>9.5649999999999985E-2</v>
      </c>
      <c r="E390" s="1"/>
      <c r="F390" s="1"/>
    </row>
    <row r="391" spans="1:6" ht="15.75" x14ac:dyDescent="0.25">
      <c r="A391" s="1"/>
      <c r="B391" s="1"/>
      <c r="C391" s="37" t="s">
        <v>93</v>
      </c>
      <c r="D391" s="34">
        <f>+'hoja de costos '!E236</f>
        <v>2.1073333333333333E-2</v>
      </c>
      <c r="E391" s="1"/>
      <c r="F391" s="1"/>
    </row>
    <row r="392" spans="1:6" x14ac:dyDescent="0.25">
      <c r="A392" s="1"/>
      <c r="B392" s="1" t="s">
        <v>388</v>
      </c>
      <c r="C392" s="1"/>
      <c r="D392" s="1"/>
      <c r="E392" s="1"/>
      <c r="F392" s="1"/>
    </row>
    <row r="393" spans="1:6" x14ac:dyDescent="0.25">
      <c r="A393" s="102">
        <v>42304</v>
      </c>
      <c r="B393" s="475">
        <v>58</v>
      </c>
      <c r="C393" s="475"/>
      <c r="D393" s="1"/>
      <c r="E393" s="1"/>
      <c r="F393" s="1"/>
    </row>
    <row r="394" spans="1:6" x14ac:dyDescent="0.25">
      <c r="A394" s="1"/>
      <c r="B394" s="222" t="s">
        <v>508</v>
      </c>
      <c r="C394" s="222"/>
      <c r="D394" s="222"/>
      <c r="E394" s="223">
        <f>+F395</f>
        <v>0.19719999999999996</v>
      </c>
      <c r="F394" s="1"/>
    </row>
    <row r="395" spans="1:6" x14ac:dyDescent="0.25">
      <c r="A395" s="1"/>
      <c r="B395" s="1"/>
      <c r="C395" s="190" t="s">
        <v>204</v>
      </c>
      <c r="D395" s="190"/>
      <c r="E395" s="190"/>
      <c r="F395" s="191">
        <f>+D396+D397+D398+D399+D400</f>
        <v>0.19719999999999996</v>
      </c>
    </row>
    <row r="396" spans="1:6" ht="15.75" x14ac:dyDescent="0.25">
      <c r="A396" s="1"/>
      <c r="B396" s="1"/>
      <c r="C396" s="37" t="s">
        <v>205</v>
      </c>
      <c r="D396" s="34">
        <f>+'kardex materiales'!H39</f>
        <v>5.2199999999999989E-2</v>
      </c>
      <c r="E396" s="1"/>
      <c r="F396" s="1"/>
    </row>
    <row r="397" spans="1:6" ht="15.75" x14ac:dyDescent="0.25">
      <c r="A397" s="1"/>
      <c r="B397" s="1"/>
      <c r="C397" s="37" t="s">
        <v>311</v>
      </c>
      <c r="D397" s="34">
        <f>+'kardex materiales'!H61</f>
        <v>4.2999999999999997E-2</v>
      </c>
      <c r="E397" s="1"/>
      <c r="F397" s="1"/>
    </row>
    <row r="398" spans="1:6" ht="15.75" x14ac:dyDescent="0.25">
      <c r="A398" s="1"/>
      <c r="B398" s="1"/>
      <c r="C398" s="37" t="s">
        <v>315</v>
      </c>
      <c r="D398" s="34">
        <f>+'kardex materiales'!H99</f>
        <v>2.4E-2</v>
      </c>
      <c r="E398" s="1"/>
      <c r="F398" s="1"/>
    </row>
    <row r="399" spans="1:6" ht="15.75" x14ac:dyDescent="0.25">
      <c r="A399" s="1"/>
      <c r="B399" s="1"/>
      <c r="C399" s="37" t="s">
        <v>17</v>
      </c>
      <c r="D399" s="34">
        <f>+'kardex materiales'!H79</f>
        <v>0.03</v>
      </c>
      <c r="E399" s="1"/>
      <c r="F399" s="1"/>
    </row>
    <row r="400" spans="1:6" ht="15.75" x14ac:dyDescent="0.25">
      <c r="A400" s="1"/>
      <c r="B400" s="1"/>
      <c r="C400" s="37" t="s">
        <v>314</v>
      </c>
      <c r="D400" s="34">
        <f>+'kardex materiales'!H118</f>
        <v>4.7999999999999994E-2</v>
      </c>
      <c r="E400" s="1"/>
      <c r="F400" s="1"/>
    </row>
    <row r="401" spans="1:6" x14ac:dyDescent="0.25">
      <c r="A401" s="1"/>
      <c r="B401" s="1" t="s">
        <v>392</v>
      </c>
      <c r="C401" s="1"/>
      <c r="D401" s="1"/>
      <c r="E401" s="1"/>
      <c r="F401" s="1"/>
    </row>
    <row r="402" spans="1:6" x14ac:dyDescent="0.25">
      <c r="A402" s="102">
        <v>42305</v>
      </c>
      <c r="B402" s="475">
        <v>59</v>
      </c>
      <c r="C402" s="475"/>
      <c r="D402" s="1"/>
      <c r="E402" s="1"/>
      <c r="F402" s="1"/>
    </row>
    <row r="403" spans="1:6" x14ac:dyDescent="0.25">
      <c r="A403" s="1"/>
      <c r="B403" s="194" t="s">
        <v>318</v>
      </c>
      <c r="C403" s="194"/>
      <c r="D403" s="194"/>
      <c r="E403" s="195">
        <f>+F404</f>
        <v>3.267457647074548</v>
      </c>
      <c r="F403" s="1"/>
    </row>
    <row r="404" spans="1:6" x14ac:dyDescent="0.25">
      <c r="A404" s="1"/>
      <c r="B404" s="1"/>
      <c r="C404" s="149" t="s">
        <v>294</v>
      </c>
      <c r="D404" s="149"/>
      <c r="E404" s="149"/>
      <c r="F404" s="150">
        <f>+D405</f>
        <v>3.267457647074548</v>
      </c>
    </row>
    <row r="405" spans="1:6" x14ac:dyDescent="0.25">
      <c r="A405" s="1"/>
      <c r="B405" s="1"/>
      <c r="C405" s="1" t="s">
        <v>391</v>
      </c>
      <c r="D405" s="34">
        <f>+'hoja de costos '!Q231</f>
        <v>3.267457647074548</v>
      </c>
      <c r="E405" s="1"/>
      <c r="F405" s="1"/>
    </row>
    <row r="406" spans="1:6" x14ac:dyDescent="0.25">
      <c r="A406" s="1"/>
      <c r="B406" s="1" t="s">
        <v>393</v>
      </c>
      <c r="C406" s="1"/>
      <c r="D406" s="1"/>
      <c r="E406" s="1"/>
      <c r="F406" s="1"/>
    </row>
    <row r="407" spans="1:6" x14ac:dyDescent="0.25">
      <c r="A407" s="102">
        <v>42305</v>
      </c>
      <c r="B407" s="475">
        <v>60</v>
      </c>
      <c r="C407" s="475"/>
      <c r="D407" s="1"/>
      <c r="E407" s="1"/>
      <c r="F407" s="1"/>
    </row>
    <row r="408" spans="1:6" x14ac:dyDescent="0.25">
      <c r="A408" s="1"/>
      <c r="B408" s="196" t="s">
        <v>207</v>
      </c>
      <c r="C408" s="196"/>
      <c r="D408" s="196"/>
      <c r="E408" s="196">
        <v>14.64</v>
      </c>
      <c r="F408" s="1"/>
    </row>
    <row r="409" spans="1:6" x14ac:dyDescent="0.25">
      <c r="A409" s="1"/>
      <c r="B409" s="1"/>
      <c r="C409" s="200" t="s">
        <v>324</v>
      </c>
      <c r="D409" s="200"/>
      <c r="E409" s="200"/>
      <c r="F409" s="200">
        <v>14.64</v>
      </c>
    </row>
    <row r="410" spans="1:6" x14ac:dyDescent="0.25">
      <c r="A410" s="1"/>
      <c r="B410" s="1" t="s">
        <v>325</v>
      </c>
      <c r="C410" s="1"/>
      <c r="D410" s="1"/>
      <c r="E410" s="1"/>
      <c r="F410" s="1"/>
    </row>
    <row r="411" spans="1:6" x14ac:dyDescent="0.25">
      <c r="A411" s="102">
        <v>42305</v>
      </c>
      <c r="B411" s="475">
        <v>61</v>
      </c>
      <c r="C411" s="475"/>
      <c r="D411" s="1"/>
      <c r="E411" s="1"/>
      <c r="F411" s="1"/>
    </row>
    <row r="412" spans="1:6" x14ac:dyDescent="0.25">
      <c r="A412" s="1"/>
      <c r="B412" s="186" t="s">
        <v>294</v>
      </c>
      <c r="C412" s="149"/>
      <c r="D412" s="149"/>
      <c r="E412" s="150">
        <f>+D413</f>
        <v>7.7429999999999999E-2</v>
      </c>
      <c r="F412" s="1"/>
    </row>
    <row r="413" spans="1:6" x14ac:dyDescent="0.25">
      <c r="A413" s="1"/>
      <c r="B413" s="1" t="s">
        <v>394</v>
      </c>
      <c r="C413" s="1"/>
      <c r="D413" s="34">
        <f>+'hoja de costos '!E252</f>
        <v>7.7429999999999999E-2</v>
      </c>
      <c r="E413" s="1"/>
      <c r="F413" s="1"/>
    </row>
    <row r="414" spans="1:6" ht="15.75" x14ac:dyDescent="0.25">
      <c r="A414" s="1"/>
      <c r="B414" s="1"/>
      <c r="C414" s="188" t="s">
        <v>200</v>
      </c>
      <c r="D414" s="68"/>
      <c r="E414" s="68"/>
      <c r="F414" s="69">
        <f>+D415+D416</f>
        <v>7.7429999999999999E-2</v>
      </c>
    </row>
    <row r="415" spans="1:6" ht="15.75" x14ac:dyDescent="0.25">
      <c r="A415" s="1"/>
      <c r="B415" s="1"/>
      <c r="C415" s="37" t="s">
        <v>175</v>
      </c>
      <c r="D415" s="34">
        <f>+'hoja de costos '!E248</f>
        <v>4.7880000000000006E-2</v>
      </c>
      <c r="E415" s="1"/>
      <c r="F415" s="1"/>
    </row>
    <row r="416" spans="1:6" ht="15.75" x14ac:dyDescent="0.25">
      <c r="A416" s="1"/>
      <c r="B416" s="1"/>
      <c r="C416" s="37" t="s">
        <v>241</v>
      </c>
      <c r="D416" s="34">
        <f>+'hoja de costos '!E249</f>
        <v>2.955E-2</v>
      </c>
      <c r="E416" s="1"/>
      <c r="F416" s="1"/>
    </row>
    <row r="417" spans="1:6" x14ac:dyDescent="0.25">
      <c r="A417" s="1"/>
      <c r="B417" s="1" t="s">
        <v>397</v>
      </c>
      <c r="C417" s="1"/>
      <c r="D417" s="1"/>
      <c r="E417" s="1"/>
      <c r="F417" s="1"/>
    </row>
    <row r="418" spans="1:6" x14ac:dyDescent="0.25">
      <c r="A418" s="102">
        <v>42305</v>
      </c>
      <c r="B418" s="475">
        <v>62</v>
      </c>
      <c r="C418" s="475"/>
      <c r="D418" s="1"/>
      <c r="E418" s="1"/>
      <c r="F418" s="1"/>
    </row>
    <row r="419" spans="1:6" x14ac:dyDescent="0.25">
      <c r="A419" s="1"/>
      <c r="B419" s="222" t="s">
        <v>245</v>
      </c>
      <c r="C419" s="222"/>
      <c r="D419" s="222"/>
      <c r="E419" s="223">
        <f>+F420</f>
        <v>0.2374</v>
      </c>
      <c r="F419" s="1"/>
    </row>
    <row r="420" spans="1:6" x14ac:dyDescent="0.25">
      <c r="A420" s="1"/>
      <c r="B420" s="1"/>
      <c r="C420" s="210" t="s">
        <v>204</v>
      </c>
      <c r="D420" s="210"/>
      <c r="E420" s="210"/>
      <c r="F420" s="211">
        <f>+D421+D422+D423+D424</f>
        <v>0.2374</v>
      </c>
    </row>
    <row r="421" spans="1:6" ht="15.75" x14ac:dyDescent="0.25">
      <c r="A421" s="1"/>
      <c r="B421" s="1"/>
      <c r="C421" s="37" t="s">
        <v>33</v>
      </c>
      <c r="D421" s="34">
        <f>+'kardex materiales'!H345</f>
        <v>4.4999999999999998E-2</v>
      </c>
      <c r="E421" s="1"/>
      <c r="F421" s="1"/>
    </row>
    <row r="422" spans="1:6" ht="15.75" x14ac:dyDescent="0.25">
      <c r="A422" s="1"/>
      <c r="B422" s="1"/>
      <c r="C422" s="37" t="s">
        <v>25</v>
      </c>
      <c r="D422" s="34">
        <f>+'kardex materiales'!H231</f>
        <v>8.2399999999999987E-2</v>
      </c>
      <c r="E422" s="1"/>
      <c r="F422" s="1"/>
    </row>
    <row r="423" spans="1:6" ht="15.75" x14ac:dyDescent="0.25">
      <c r="A423" s="1"/>
      <c r="B423" s="1"/>
      <c r="C423" s="37" t="s">
        <v>23</v>
      </c>
      <c r="D423" s="1">
        <f>+'kardex materiales'!H197</f>
        <v>2.0000000000000007E-2</v>
      </c>
      <c r="E423" s="1"/>
      <c r="F423" s="1"/>
    </row>
    <row r="424" spans="1:6" ht="15.75" x14ac:dyDescent="0.25">
      <c r="A424" s="1"/>
      <c r="B424" s="1"/>
      <c r="C424" s="37" t="s">
        <v>26</v>
      </c>
      <c r="D424" s="34">
        <f>+'kardex materiales'!H252</f>
        <v>0.09</v>
      </c>
      <c r="E424" s="1"/>
      <c r="F424" s="1"/>
    </row>
    <row r="425" spans="1:6" x14ac:dyDescent="0.25">
      <c r="A425" s="1"/>
      <c r="B425" s="1" t="s">
        <v>396</v>
      </c>
      <c r="C425" s="1"/>
      <c r="D425" s="1"/>
      <c r="E425" s="1"/>
      <c r="F425" s="1"/>
    </row>
    <row r="426" spans="1:6" x14ac:dyDescent="0.25">
      <c r="A426" s="102">
        <v>42306</v>
      </c>
      <c r="B426" s="475">
        <v>63</v>
      </c>
      <c r="C426" s="475"/>
      <c r="D426" s="1"/>
      <c r="E426" s="1"/>
      <c r="F426" s="1"/>
    </row>
    <row r="427" spans="1:6" x14ac:dyDescent="0.25">
      <c r="A427" s="1"/>
      <c r="B427" s="194" t="s">
        <v>318</v>
      </c>
      <c r="C427" s="194"/>
      <c r="D427" s="194"/>
      <c r="E427" s="195">
        <f>+F428</f>
        <v>2.6525524204451094</v>
      </c>
      <c r="F427" s="1"/>
    </row>
    <row r="428" spans="1:6" x14ac:dyDescent="0.25">
      <c r="A428" s="1"/>
      <c r="B428" s="1"/>
      <c r="C428" s="149" t="s">
        <v>294</v>
      </c>
      <c r="D428" s="149"/>
      <c r="E428" s="149"/>
      <c r="F428" s="150">
        <f>+D429</f>
        <v>2.6525524204451094</v>
      </c>
    </row>
    <row r="429" spans="1:6" x14ac:dyDescent="0.25">
      <c r="A429" s="1"/>
      <c r="B429" s="1"/>
      <c r="C429" s="1" t="s">
        <v>394</v>
      </c>
      <c r="D429" s="34">
        <f>+'hoja de costos '!Q251</f>
        <v>2.6525524204451094</v>
      </c>
      <c r="E429" s="1"/>
      <c r="F429" s="1"/>
    </row>
    <row r="430" spans="1:6" x14ac:dyDescent="0.25">
      <c r="A430" s="1"/>
      <c r="B430" s="1" t="s">
        <v>386</v>
      </c>
      <c r="C430" s="1"/>
      <c r="D430" s="1"/>
      <c r="E430" s="1"/>
      <c r="F430" s="1"/>
    </row>
    <row r="431" spans="1:6" x14ac:dyDescent="0.25">
      <c r="A431" s="102">
        <v>42306</v>
      </c>
      <c r="B431" s="475">
        <v>64</v>
      </c>
      <c r="C431" s="475"/>
      <c r="D431" s="1"/>
      <c r="E431" s="1"/>
      <c r="F431" s="1"/>
    </row>
    <row r="432" spans="1:6" x14ac:dyDescent="0.25">
      <c r="A432" s="1"/>
      <c r="B432" s="196" t="s">
        <v>207</v>
      </c>
      <c r="C432" s="196"/>
      <c r="D432" s="196"/>
      <c r="E432" s="196">
        <v>3.64</v>
      </c>
      <c r="F432" s="1"/>
    </row>
    <row r="433" spans="1:6" x14ac:dyDescent="0.25">
      <c r="A433" s="1"/>
      <c r="B433" s="1"/>
      <c r="C433" s="200" t="s">
        <v>324</v>
      </c>
      <c r="D433" s="200"/>
      <c r="E433" s="200"/>
      <c r="F433" s="200">
        <v>3.64</v>
      </c>
    </row>
    <row r="434" spans="1:6" x14ac:dyDescent="0.25">
      <c r="A434" s="1"/>
      <c r="B434" s="1" t="s">
        <v>325</v>
      </c>
      <c r="C434" s="1"/>
      <c r="D434" s="1"/>
      <c r="E434" s="1"/>
      <c r="F434" s="1"/>
    </row>
    <row r="435" spans="1:6" x14ac:dyDescent="0.25">
      <c r="A435" s="102">
        <v>42307</v>
      </c>
      <c r="B435" s="475">
        <v>65</v>
      </c>
      <c r="C435" s="475"/>
      <c r="D435" s="1"/>
      <c r="E435" s="1"/>
      <c r="F435" s="1"/>
    </row>
    <row r="436" spans="1:6" x14ac:dyDescent="0.25">
      <c r="A436" s="1"/>
      <c r="B436" s="248" t="s">
        <v>290</v>
      </c>
      <c r="C436" s="249"/>
      <c r="D436" s="249"/>
      <c r="E436" s="250">
        <f>+D437+D438+D439</f>
        <v>3839.2249999999999</v>
      </c>
      <c r="F436" s="1"/>
    </row>
    <row r="437" spans="1:6" x14ac:dyDescent="0.25">
      <c r="A437" s="1"/>
      <c r="B437" s="88" t="s">
        <v>307</v>
      </c>
      <c r="C437" s="1"/>
      <c r="D437" s="34">
        <f>+'Rol de pagos octubre'!C25</f>
        <v>3122.9</v>
      </c>
      <c r="E437" s="1"/>
      <c r="F437" s="1"/>
    </row>
    <row r="438" spans="1:6" x14ac:dyDescent="0.25">
      <c r="A438" s="1"/>
      <c r="B438" s="88" t="s">
        <v>281</v>
      </c>
      <c r="C438" s="1"/>
      <c r="D438" s="34">
        <f>+'Rol de pagos octubre'!D25</f>
        <v>421</v>
      </c>
      <c r="E438" s="1"/>
      <c r="F438" s="1"/>
    </row>
    <row r="439" spans="1:6" x14ac:dyDescent="0.25">
      <c r="A439" s="1"/>
      <c r="B439" s="88" t="s">
        <v>258</v>
      </c>
      <c r="C439" s="1"/>
      <c r="D439" s="34">
        <f>+'Rol de pagos octubre'!E25</f>
        <v>295.32499999999999</v>
      </c>
      <c r="E439" s="1"/>
      <c r="F439" s="1"/>
    </row>
    <row r="440" spans="1:6" x14ac:dyDescent="0.25">
      <c r="A440" s="1"/>
      <c r="B440" s="88"/>
      <c r="C440" s="190" t="s">
        <v>284</v>
      </c>
      <c r="D440" s="190"/>
      <c r="E440" s="190"/>
      <c r="F440" s="191">
        <f>+'Rol de pagos octubre'!G25</f>
        <v>334.89854999999994</v>
      </c>
    </row>
    <row r="441" spans="1:6" x14ac:dyDescent="0.25">
      <c r="A441" s="1"/>
      <c r="B441" s="88"/>
      <c r="C441" s="251" t="s">
        <v>292</v>
      </c>
      <c r="D441" s="251"/>
      <c r="E441" s="251"/>
      <c r="F441" s="252">
        <f>+'Rol de pagos octubre'!H25</f>
        <v>1180</v>
      </c>
    </row>
    <row r="442" spans="1:6" x14ac:dyDescent="0.25">
      <c r="A442" s="1"/>
      <c r="B442" s="88"/>
      <c r="C442" s="197" t="s">
        <v>291</v>
      </c>
      <c r="D442" s="197"/>
      <c r="E442" s="197"/>
      <c r="F442" s="255">
        <f>+'Rol de pagos octubre'!I25</f>
        <v>427.5</v>
      </c>
    </row>
    <row r="443" spans="1:6" x14ac:dyDescent="0.25">
      <c r="A443" s="1"/>
      <c r="B443" s="88"/>
      <c r="C443" s="256" t="s">
        <v>289</v>
      </c>
      <c r="D443" s="256"/>
      <c r="E443" s="256"/>
      <c r="F443" s="257">
        <f>+D439</f>
        <v>295.32499999999999</v>
      </c>
    </row>
    <row r="444" spans="1:6" x14ac:dyDescent="0.25">
      <c r="A444" s="1"/>
      <c r="B444" s="88"/>
      <c r="C444" s="258" t="s">
        <v>260</v>
      </c>
      <c r="D444" s="258"/>
      <c r="E444" s="258"/>
      <c r="F444" s="259">
        <f>+'Rol de pagos octubre'!K25</f>
        <v>552</v>
      </c>
    </row>
    <row r="445" spans="1:6" x14ac:dyDescent="0.25">
      <c r="A445" s="1"/>
      <c r="B445" s="88"/>
      <c r="C445" s="253" t="s">
        <v>207</v>
      </c>
      <c r="D445" s="196"/>
      <c r="E445" s="196"/>
      <c r="F445" s="254">
        <f>+E436-F440-F441-F442-F443-F444</f>
        <v>1049.50145</v>
      </c>
    </row>
    <row r="446" spans="1:6" x14ac:dyDescent="0.25">
      <c r="A446" s="1"/>
      <c r="B446" s="478" t="s">
        <v>297</v>
      </c>
      <c r="C446" s="478"/>
      <c r="D446" s="1"/>
      <c r="E446" s="1"/>
      <c r="F446" s="1"/>
    </row>
    <row r="447" spans="1:6" x14ac:dyDescent="0.25">
      <c r="A447" s="102">
        <v>42307</v>
      </c>
      <c r="B447" s="475">
        <v>66</v>
      </c>
      <c r="C447" s="475"/>
      <c r="D447" s="1"/>
      <c r="E447" s="1"/>
      <c r="F447" s="1"/>
    </row>
    <row r="448" spans="1:6" x14ac:dyDescent="0.25">
      <c r="A448" s="1"/>
      <c r="B448" s="260" t="s">
        <v>252</v>
      </c>
      <c r="C448" s="260"/>
      <c r="D448" s="260"/>
      <c r="E448" s="261">
        <f>+'Rol de pagos octubre'!F9</f>
        <v>1132.7874999999999</v>
      </c>
      <c r="F448" s="34"/>
    </row>
    <row r="449" spans="1:6" x14ac:dyDescent="0.25">
      <c r="A449" s="1"/>
      <c r="B449" s="246" t="s">
        <v>294</v>
      </c>
      <c r="C449" s="149"/>
      <c r="D449" s="149"/>
      <c r="E449" s="150">
        <f>+'Rol de pagos octubre'!F18</f>
        <v>2213.520833333333</v>
      </c>
      <c r="F449" s="34"/>
    </row>
    <row r="450" spans="1:6" x14ac:dyDescent="0.25">
      <c r="A450" s="1"/>
      <c r="B450" s="222" t="s">
        <v>295</v>
      </c>
      <c r="C450" s="222"/>
      <c r="D450" s="222"/>
      <c r="E450" s="223">
        <f>+'Rol de pagos octubre'!F23</f>
        <v>492.91666666666669</v>
      </c>
      <c r="F450" s="34"/>
    </row>
    <row r="451" spans="1:6" x14ac:dyDescent="0.25">
      <c r="A451" s="1"/>
      <c r="B451" s="1"/>
      <c r="C451" s="248" t="s">
        <v>290</v>
      </c>
      <c r="D451" s="249"/>
      <c r="E451" s="250"/>
      <c r="F451" s="250">
        <f>+E448+E449+E450</f>
        <v>3839.2249999999995</v>
      </c>
    </row>
    <row r="452" spans="1:6" x14ac:dyDescent="0.25">
      <c r="A452" s="1"/>
      <c r="B452" s="486" t="s">
        <v>296</v>
      </c>
      <c r="C452" s="486"/>
      <c r="D452" s="1"/>
      <c r="E452" s="1"/>
      <c r="F452" s="1"/>
    </row>
    <row r="453" spans="1:6" x14ac:dyDescent="0.25">
      <c r="A453" s="102">
        <v>42307</v>
      </c>
      <c r="B453" s="475">
        <v>67</v>
      </c>
      <c r="C453" s="475"/>
      <c r="D453" s="1"/>
      <c r="E453" s="1"/>
      <c r="F453" s="1"/>
    </row>
    <row r="454" spans="1:6" x14ac:dyDescent="0.25">
      <c r="A454" s="1"/>
      <c r="B454" s="262" t="s">
        <v>308</v>
      </c>
      <c r="C454" s="260"/>
      <c r="D454" s="260"/>
      <c r="E454" s="261">
        <f>+D455+D456+D457+D458+D459</f>
        <v>316.75272499999994</v>
      </c>
      <c r="F454" s="1"/>
    </row>
    <row r="455" spans="1:6" x14ac:dyDescent="0.25">
      <c r="A455" s="1"/>
      <c r="B455" s="1" t="s">
        <v>309</v>
      </c>
      <c r="C455" s="1"/>
      <c r="D455" s="34">
        <f>+'Rol de Provisiones'!E8</f>
        <v>127.04647499999999</v>
      </c>
      <c r="E455" s="1"/>
      <c r="F455" s="1"/>
    </row>
    <row r="456" spans="1:6" x14ac:dyDescent="0.25">
      <c r="A456" s="1"/>
      <c r="B456" s="1" t="s">
        <v>255</v>
      </c>
      <c r="C456" s="1"/>
      <c r="D456" s="34">
        <f>+'Rol de Provisiones'!F8</f>
        <v>87.137499999999989</v>
      </c>
      <c r="E456" s="1"/>
      <c r="F456" s="1"/>
    </row>
    <row r="457" spans="1:6" x14ac:dyDescent="0.25">
      <c r="A457" s="1"/>
      <c r="B457" s="1" t="s">
        <v>256</v>
      </c>
      <c r="C457" s="1"/>
      <c r="D457" s="34">
        <f>+'Rol de Provisiones'!G8</f>
        <v>59</v>
      </c>
      <c r="E457" s="1"/>
      <c r="F457" s="1"/>
    </row>
    <row r="458" spans="1:6" x14ac:dyDescent="0.25">
      <c r="A458" s="1"/>
      <c r="B458" s="1" t="s">
        <v>257</v>
      </c>
      <c r="C458" s="1"/>
      <c r="D458" s="34">
        <f>+'Rol de Provisiones'!H8</f>
        <v>43.568749999999994</v>
      </c>
      <c r="E458" s="1"/>
      <c r="F458" s="1"/>
    </row>
    <row r="459" spans="1:6" x14ac:dyDescent="0.25">
      <c r="A459" s="1"/>
      <c r="B459" s="247" t="s">
        <v>294</v>
      </c>
      <c r="C459" s="149"/>
      <c r="D459" s="150"/>
      <c r="E459" s="150">
        <f>+D460+D461+D462+D463</f>
        <v>651.16112499999997</v>
      </c>
      <c r="F459" s="1"/>
    </row>
    <row r="460" spans="1:6" x14ac:dyDescent="0.25">
      <c r="A460" s="1"/>
      <c r="B460" s="1" t="s">
        <v>309</v>
      </c>
      <c r="C460" s="1"/>
      <c r="D460" s="34">
        <f>+'Rol de Provisiones'!E19</f>
        <v>248.25487499999997</v>
      </c>
      <c r="E460" s="1"/>
      <c r="F460" s="1"/>
    </row>
    <row r="461" spans="1:6" x14ac:dyDescent="0.25">
      <c r="A461" s="1"/>
      <c r="B461" s="1" t="s">
        <v>255</v>
      </c>
      <c r="C461" s="1"/>
      <c r="D461" s="34">
        <f>+'Rol de Provisiones'!F19</f>
        <v>170.27083333333334</v>
      </c>
      <c r="E461" s="1"/>
      <c r="F461" s="1"/>
    </row>
    <row r="462" spans="1:6" x14ac:dyDescent="0.25">
      <c r="A462" s="1"/>
      <c r="B462" s="1" t="s">
        <v>256</v>
      </c>
      <c r="C462" s="1"/>
      <c r="D462" s="34">
        <f>+'Rol de Provisiones'!G19</f>
        <v>147.5</v>
      </c>
      <c r="E462" s="1"/>
      <c r="F462" s="1"/>
    </row>
    <row r="463" spans="1:6" x14ac:dyDescent="0.25">
      <c r="A463" s="1"/>
      <c r="B463" s="1" t="s">
        <v>257</v>
      </c>
      <c r="C463" s="1"/>
      <c r="D463" s="34">
        <f>+'Rol de Provisiones'!H19</f>
        <v>85.135416666666671</v>
      </c>
      <c r="E463" s="1"/>
      <c r="F463" s="1"/>
    </row>
    <row r="464" spans="1:6" x14ac:dyDescent="0.25">
      <c r="A464" s="1"/>
      <c r="B464" s="263" t="s">
        <v>245</v>
      </c>
      <c r="C464" s="222"/>
      <c r="D464" s="222"/>
      <c r="E464" s="223">
        <f>+D465+D466+D467+D468</f>
        <v>141.6575</v>
      </c>
      <c r="F464" s="1"/>
    </row>
    <row r="465" spans="1:6" x14ac:dyDescent="0.25">
      <c r="A465" s="1"/>
      <c r="B465" s="1" t="s">
        <v>309</v>
      </c>
      <c r="C465" s="1"/>
      <c r="D465" s="34">
        <f>+'Rol de Provisiones'!E26</f>
        <v>55.282499999999999</v>
      </c>
      <c r="E465" s="1"/>
      <c r="F465" s="1"/>
    </row>
    <row r="466" spans="1:6" x14ac:dyDescent="0.25">
      <c r="A466" s="1"/>
      <c r="B466" s="1" t="s">
        <v>255</v>
      </c>
      <c r="C466" s="1"/>
      <c r="D466" s="34">
        <f>+'Rol de Provisiones'!F26</f>
        <v>37.916666666666664</v>
      </c>
      <c r="E466" s="1"/>
      <c r="F466" s="1"/>
    </row>
    <row r="467" spans="1:6" x14ac:dyDescent="0.25">
      <c r="A467" s="1"/>
      <c r="B467" s="1" t="s">
        <v>256</v>
      </c>
      <c r="C467" s="1"/>
      <c r="D467" s="34">
        <f>+'Rol de Provisiones'!G26</f>
        <v>29.5</v>
      </c>
      <c r="E467" s="1"/>
      <c r="F467" s="1"/>
    </row>
    <row r="468" spans="1:6" x14ac:dyDescent="0.25">
      <c r="A468" s="1"/>
      <c r="B468" s="1" t="s">
        <v>257</v>
      </c>
      <c r="C468" s="1"/>
      <c r="D468" s="34">
        <f>+'Rol de Provisiones'!H26</f>
        <v>18.958333333333332</v>
      </c>
      <c r="E468" s="1"/>
      <c r="F468" s="1"/>
    </row>
    <row r="469" spans="1:6" x14ac:dyDescent="0.25">
      <c r="A469" s="1"/>
      <c r="B469" s="1"/>
      <c r="C469" s="196" t="s">
        <v>207</v>
      </c>
      <c r="D469" s="196"/>
      <c r="E469" s="196"/>
      <c r="F469" s="254">
        <f>+E464+E459++E454</f>
        <v>1109.5713499999999</v>
      </c>
    </row>
    <row r="470" spans="1:6" x14ac:dyDescent="0.25">
      <c r="A470" s="1"/>
      <c r="B470" s="478" t="s">
        <v>310</v>
      </c>
      <c r="C470" s="478"/>
      <c r="D470" s="1"/>
      <c r="E470" s="1"/>
      <c r="F470" s="1"/>
    </row>
    <row r="471" spans="1:6" x14ac:dyDescent="0.25">
      <c r="A471" s="102">
        <v>42307</v>
      </c>
      <c r="B471" s="472">
        <v>68</v>
      </c>
      <c r="C471" s="473"/>
      <c r="D471" s="1"/>
      <c r="E471" s="1"/>
      <c r="F471" s="1"/>
    </row>
    <row r="472" spans="1:6" x14ac:dyDescent="0.25">
      <c r="A472" s="102"/>
      <c r="B472" s="266" t="s">
        <v>295</v>
      </c>
      <c r="C472" s="267"/>
      <c r="D472" s="222"/>
      <c r="E472" s="222">
        <f>+D473+D474+D475+D476+D477+D478+D479</f>
        <v>1728.75</v>
      </c>
      <c r="F472" s="1"/>
    </row>
    <row r="473" spans="1:6" x14ac:dyDescent="0.25">
      <c r="A473" s="102"/>
      <c r="B473" s="143" t="s">
        <v>405</v>
      </c>
      <c r="C473" s="142"/>
      <c r="D473" s="1">
        <f>+depreciaciones!D55</f>
        <v>60</v>
      </c>
      <c r="E473" s="1"/>
      <c r="F473" s="1"/>
    </row>
    <row r="474" spans="1:6" x14ac:dyDescent="0.25">
      <c r="A474" s="102"/>
      <c r="B474" s="143" t="s">
        <v>406</v>
      </c>
      <c r="C474" s="142"/>
      <c r="D474" s="1">
        <f>+depreciaciones!D64</f>
        <v>37.5</v>
      </c>
      <c r="E474" s="1"/>
      <c r="F474" s="1"/>
    </row>
    <row r="475" spans="1:6" x14ac:dyDescent="0.25">
      <c r="A475" s="102"/>
      <c r="B475" s="143" t="s">
        <v>407</v>
      </c>
      <c r="C475" s="142"/>
      <c r="D475" s="1">
        <f>+depreciaciones!H55</f>
        <v>63.75</v>
      </c>
      <c r="E475" s="1"/>
      <c r="F475" s="1"/>
    </row>
    <row r="476" spans="1:6" x14ac:dyDescent="0.25">
      <c r="A476" s="102"/>
      <c r="B476" s="143" t="s">
        <v>408</v>
      </c>
      <c r="C476" s="142"/>
      <c r="D476" s="1">
        <f>+depreciaciones!H64</f>
        <v>435</v>
      </c>
      <c r="E476" s="1"/>
      <c r="F476" s="1"/>
    </row>
    <row r="477" spans="1:6" x14ac:dyDescent="0.25">
      <c r="A477" s="102"/>
      <c r="B477" s="143" t="s">
        <v>409</v>
      </c>
      <c r="C477" s="142"/>
      <c r="D477" s="1">
        <f>+depreciaciones!D73</f>
        <v>360</v>
      </c>
      <c r="E477" s="1"/>
      <c r="F477" s="1"/>
    </row>
    <row r="478" spans="1:6" x14ac:dyDescent="0.25">
      <c r="A478" s="1"/>
      <c r="B478" s="143" t="s">
        <v>410</v>
      </c>
      <c r="C478" s="1"/>
      <c r="D478" s="1">
        <f>+depreciaciones!H73</f>
        <v>750</v>
      </c>
      <c r="E478" s="1"/>
      <c r="F478" s="1"/>
    </row>
    <row r="479" spans="1:6" x14ac:dyDescent="0.25">
      <c r="A479" s="1"/>
      <c r="B479" s="143" t="s">
        <v>411</v>
      </c>
      <c r="C479" s="1"/>
      <c r="D479" s="1">
        <f>+depreciaciones!D83</f>
        <v>22.5</v>
      </c>
      <c r="E479" s="1"/>
      <c r="F479" s="1"/>
    </row>
    <row r="480" spans="1:6" ht="15.75" x14ac:dyDescent="0.25">
      <c r="A480" s="1"/>
      <c r="B480" s="143"/>
      <c r="C480" s="14" t="s">
        <v>398</v>
      </c>
      <c r="D480" s="1"/>
      <c r="E480" s="1"/>
      <c r="F480" s="1">
        <v>60</v>
      </c>
    </row>
    <row r="481" spans="1:6" ht="15.75" x14ac:dyDescent="0.25">
      <c r="A481" s="1"/>
      <c r="B481" s="1"/>
      <c r="C481" s="14" t="s">
        <v>399</v>
      </c>
      <c r="D481" s="1"/>
      <c r="E481" s="1"/>
      <c r="F481" s="1">
        <v>37.5</v>
      </c>
    </row>
    <row r="482" spans="1:6" ht="15.75" x14ac:dyDescent="0.25">
      <c r="A482" s="1"/>
      <c r="B482" s="1"/>
      <c r="C482" s="14" t="s">
        <v>400</v>
      </c>
      <c r="D482" s="1"/>
      <c r="E482" s="1"/>
      <c r="F482" s="1">
        <v>63.75</v>
      </c>
    </row>
    <row r="483" spans="1:6" ht="15.75" x14ac:dyDescent="0.25">
      <c r="A483" s="1"/>
      <c r="B483" s="1"/>
      <c r="C483" s="14" t="s">
        <v>401</v>
      </c>
      <c r="D483" s="1"/>
      <c r="E483" s="1"/>
      <c r="F483" s="1">
        <v>435</v>
      </c>
    </row>
    <row r="484" spans="1:6" ht="15.75" x14ac:dyDescent="0.25">
      <c r="A484" s="1"/>
      <c r="B484" s="1"/>
      <c r="C484" s="14" t="s">
        <v>402</v>
      </c>
      <c r="D484" s="1"/>
      <c r="E484" s="1"/>
      <c r="F484" s="1">
        <v>360</v>
      </c>
    </row>
    <row r="485" spans="1:6" ht="15.75" x14ac:dyDescent="0.25">
      <c r="A485" s="1"/>
      <c r="B485" s="1"/>
      <c r="C485" s="14" t="s">
        <v>403</v>
      </c>
      <c r="D485" s="1"/>
      <c r="E485" s="1"/>
      <c r="F485" s="1">
        <v>750</v>
      </c>
    </row>
    <row r="486" spans="1:6" ht="15.75" x14ac:dyDescent="0.25">
      <c r="A486" s="1"/>
      <c r="B486" s="1"/>
      <c r="C486" s="14" t="s">
        <v>404</v>
      </c>
      <c r="D486" s="1"/>
      <c r="E486" s="1"/>
      <c r="F486" s="1">
        <v>22.5</v>
      </c>
    </row>
    <row r="487" spans="1:6" x14ac:dyDescent="0.25">
      <c r="A487" s="1"/>
      <c r="B487" s="476" t="s">
        <v>498</v>
      </c>
      <c r="C487" s="477"/>
      <c r="D487" s="1"/>
      <c r="E487" s="1"/>
      <c r="F487" s="1"/>
    </row>
    <row r="488" spans="1:6" x14ac:dyDescent="0.25">
      <c r="A488" s="102">
        <v>42307</v>
      </c>
      <c r="B488" s="472">
        <v>69</v>
      </c>
      <c r="C488" s="473"/>
      <c r="D488" s="1"/>
      <c r="E488" s="1"/>
      <c r="F488" s="1"/>
    </row>
    <row r="489" spans="1:6" x14ac:dyDescent="0.25">
      <c r="A489" s="1"/>
      <c r="B489" s="192" t="s">
        <v>474</v>
      </c>
      <c r="C489" s="192"/>
      <c r="D489" s="192"/>
      <c r="E489" s="193">
        <f>+F490</f>
        <v>43.361154479488796</v>
      </c>
      <c r="F489" s="1"/>
    </row>
    <row r="490" spans="1:6" x14ac:dyDescent="0.25">
      <c r="A490" s="1"/>
      <c r="B490" s="1"/>
      <c r="C490" s="194" t="s">
        <v>318</v>
      </c>
      <c r="D490" s="194"/>
      <c r="E490" s="194"/>
      <c r="F490" s="195">
        <f>+D491+D492+D493+D494+D495+D496+D497+D498+D499+D500+D501+D502+D503+D504+D505</f>
        <v>43.361154479488796</v>
      </c>
    </row>
    <row r="491" spans="1:6" x14ac:dyDescent="0.25">
      <c r="A491" s="1"/>
      <c r="B491" s="1"/>
      <c r="C491" s="1" t="s">
        <v>322</v>
      </c>
      <c r="D491" s="34">
        <f>+D20</f>
        <v>1.152389297392173</v>
      </c>
      <c r="E491" s="1"/>
      <c r="F491" s="1"/>
    </row>
    <row r="492" spans="1:6" x14ac:dyDescent="0.25">
      <c r="A492" s="1"/>
      <c r="B492" s="1"/>
      <c r="C492" s="1" t="s">
        <v>327</v>
      </c>
      <c r="D492" s="34">
        <f>+D51</f>
        <v>1.8380528758274766</v>
      </c>
      <c r="E492" s="1"/>
      <c r="F492" s="1"/>
    </row>
    <row r="493" spans="1:6" x14ac:dyDescent="0.25">
      <c r="A493" s="1"/>
      <c r="B493" s="1"/>
      <c r="C493" s="1" t="s">
        <v>331</v>
      </c>
      <c r="D493" s="34">
        <f>+D82</f>
        <v>4.2000569444667217</v>
      </c>
      <c r="E493" s="1"/>
      <c r="F493" s="1"/>
    </row>
    <row r="494" spans="1:6" x14ac:dyDescent="0.25">
      <c r="A494" s="1"/>
      <c r="B494" s="1"/>
      <c r="C494" s="1" t="s">
        <v>335</v>
      </c>
      <c r="D494" s="34">
        <f>+D127</f>
        <v>3.6749112255098524</v>
      </c>
      <c r="E494" s="1"/>
      <c r="F494" s="1"/>
    </row>
    <row r="495" spans="1:6" x14ac:dyDescent="0.25">
      <c r="A495" s="1"/>
      <c r="B495" s="1"/>
      <c r="C495" s="1" t="s">
        <v>346</v>
      </c>
      <c r="D495" s="34">
        <f>+D158</f>
        <v>8.1754834150785456</v>
      </c>
      <c r="E495" s="1"/>
      <c r="F495" s="1"/>
    </row>
    <row r="496" spans="1:6" x14ac:dyDescent="0.25">
      <c r="A496" s="1"/>
      <c r="B496" s="1"/>
      <c r="C496" s="1" t="s">
        <v>348</v>
      </c>
      <c r="D496" s="34">
        <f>+D185</f>
        <v>1.8126228758274765</v>
      </c>
      <c r="E496" s="1"/>
      <c r="F496" s="1"/>
    </row>
    <row r="497" spans="1:6" x14ac:dyDescent="0.25">
      <c r="A497" s="1"/>
      <c r="B497" s="1"/>
      <c r="C497" s="1" t="s">
        <v>353</v>
      </c>
      <c r="D497" s="34">
        <f>+D216</f>
        <v>3.6749112255098524</v>
      </c>
      <c r="E497" s="1"/>
      <c r="F497" s="1"/>
    </row>
    <row r="498" spans="1:6" x14ac:dyDescent="0.25">
      <c r="A498" s="1"/>
      <c r="B498" s="1"/>
      <c r="C498" s="1" t="s">
        <v>357</v>
      </c>
      <c r="D498" s="34">
        <f>+D240</f>
        <v>1.8380528758274766</v>
      </c>
      <c r="E498" s="1"/>
      <c r="F498" s="1"/>
    </row>
    <row r="499" spans="1:6" x14ac:dyDescent="0.25">
      <c r="A499" s="1"/>
      <c r="B499" s="1"/>
      <c r="C499" s="1" t="s">
        <v>366</v>
      </c>
      <c r="D499" s="34">
        <f>+D272</f>
        <v>3.267457647074548</v>
      </c>
      <c r="E499" s="1"/>
      <c r="F499" s="1"/>
    </row>
    <row r="500" spans="1:6" x14ac:dyDescent="0.25">
      <c r="A500" s="1"/>
      <c r="B500" s="1"/>
      <c r="C500" s="1" t="s">
        <v>368</v>
      </c>
      <c r="D500" s="34">
        <f>+D295</f>
        <v>1.1523892973921728</v>
      </c>
      <c r="E500" s="1"/>
      <c r="F500" s="1"/>
    </row>
    <row r="501" spans="1:6" x14ac:dyDescent="0.25">
      <c r="A501" s="1"/>
      <c r="B501" s="1"/>
      <c r="C501" s="1" t="s">
        <v>373</v>
      </c>
      <c r="D501" s="34">
        <f>+D319</f>
        <v>1.8380528758274766</v>
      </c>
      <c r="E501" s="1"/>
      <c r="F501" s="1"/>
    </row>
    <row r="502" spans="1:6" x14ac:dyDescent="0.25">
      <c r="A502" s="1"/>
      <c r="B502" s="1"/>
      <c r="C502" s="1" t="s">
        <v>378</v>
      </c>
      <c r="D502" s="34">
        <f>+D350</f>
        <v>3.6643745588431855</v>
      </c>
      <c r="E502" s="1"/>
      <c r="F502" s="1"/>
    </row>
    <row r="503" spans="1:6" x14ac:dyDescent="0.25">
      <c r="A503" s="1"/>
      <c r="B503" s="1"/>
      <c r="C503" s="1" t="s">
        <v>383</v>
      </c>
      <c r="D503" s="34">
        <f>+D373</f>
        <v>1.1523892973921728</v>
      </c>
      <c r="E503" s="1"/>
      <c r="F503" s="1"/>
    </row>
    <row r="504" spans="1:6" x14ac:dyDescent="0.25">
      <c r="A504" s="1"/>
      <c r="B504" s="1"/>
      <c r="C504" s="1" t="s">
        <v>391</v>
      </c>
      <c r="D504" s="34">
        <f>+D405</f>
        <v>3.267457647074548</v>
      </c>
      <c r="E504" s="1"/>
      <c r="F504" s="1"/>
    </row>
    <row r="505" spans="1:6" x14ac:dyDescent="0.25">
      <c r="A505" s="1"/>
      <c r="B505" s="1"/>
      <c r="C505" s="1" t="s">
        <v>394</v>
      </c>
      <c r="D505" s="34">
        <f>+D429</f>
        <v>2.6525524204451094</v>
      </c>
      <c r="E505" s="1"/>
      <c r="F505" s="1"/>
    </row>
    <row r="506" spans="1:6" x14ac:dyDescent="0.25">
      <c r="A506" s="102">
        <v>42307</v>
      </c>
      <c r="B506" s="472">
        <v>70</v>
      </c>
      <c r="C506" s="473"/>
      <c r="D506" s="1"/>
      <c r="E506" s="1"/>
      <c r="F506" s="1"/>
    </row>
    <row r="507" spans="1:6" x14ac:dyDescent="0.25">
      <c r="A507" s="1"/>
      <c r="B507" s="1" t="s">
        <v>295</v>
      </c>
      <c r="D507" s="2"/>
      <c r="E507" s="3">
        <f>+'Calculo tiempo inactivo'!K19</f>
        <v>863.6385196701923</v>
      </c>
      <c r="F507" s="1"/>
    </row>
    <row r="508" spans="1:6" x14ac:dyDescent="0.25">
      <c r="A508" s="1"/>
      <c r="B508" s="1"/>
      <c r="C508" s="149" t="s">
        <v>294</v>
      </c>
      <c r="D508" s="1"/>
      <c r="E508" s="1"/>
      <c r="F508" s="34">
        <f>+'Calculo tiempo inactivo'!K19</f>
        <v>863.6385196701923</v>
      </c>
    </row>
    <row r="509" spans="1:6" x14ac:dyDescent="0.25">
      <c r="A509" s="1"/>
      <c r="B509" s="476" t="s">
        <v>499</v>
      </c>
      <c r="C509" s="477"/>
      <c r="D509" s="1"/>
      <c r="E509" s="1"/>
      <c r="F509" s="1"/>
    </row>
    <row r="510" spans="1:6" x14ac:dyDescent="0.25">
      <c r="A510" s="1"/>
      <c r="B510" s="472">
        <v>71</v>
      </c>
      <c r="C510" s="473"/>
      <c r="D510" s="1"/>
      <c r="E510" s="1"/>
      <c r="F510" s="1"/>
    </row>
    <row r="511" spans="1:6" x14ac:dyDescent="0.25">
      <c r="A511" s="102">
        <v>42307</v>
      </c>
      <c r="B511" s="149" t="s">
        <v>294</v>
      </c>
      <c r="C511" s="149"/>
      <c r="D511" s="149"/>
      <c r="E511" s="150">
        <f>+'hoja de costos '!N15+'hoja de costos '!N28+'hoja de costos '!N46+'hoja de costos '!N64+'hoja de costos '!N81+'hoja de costos '!N97+'hoja de costos '!N116+'hoja de costos '!N130+'hoja de costos '!N149+'hoja de costos '!N166+'hoja de costos '!N184+'hoja de costos '!N203+'hoja de costos '!N218+'hoja de costos '!N237+'hoja de costos '!N252</f>
        <v>17.202725694785823</v>
      </c>
      <c r="F511" s="1"/>
    </row>
    <row r="512" spans="1:6" x14ac:dyDescent="0.25">
      <c r="A512" s="1"/>
      <c r="B512" s="1"/>
      <c r="C512" s="1" t="s">
        <v>455</v>
      </c>
      <c r="D512" s="1"/>
      <c r="E512" s="1"/>
      <c r="F512" s="34">
        <f>+E511</f>
        <v>17.202725694785823</v>
      </c>
    </row>
    <row r="513" spans="1:6" x14ac:dyDescent="0.25">
      <c r="A513" s="1"/>
      <c r="B513" s="474" t="s">
        <v>501</v>
      </c>
      <c r="C513" s="474"/>
      <c r="D513" s="1"/>
      <c r="E513" s="1"/>
      <c r="F513" s="1"/>
    </row>
    <row r="514" spans="1:6" x14ac:dyDescent="0.25">
      <c r="A514" s="1"/>
      <c r="B514" s="475">
        <v>72</v>
      </c>
      <c r="C514" s="475"/>
      <c r="D514" s="1"/>
      <c r="E514" s="1"/>
      <c r="F514" s="1"/>
    </row>
    <row r="515" spans="1:6" x14ac:dyDescent="0.25">
      <c r="A515" s="1"/>
      <c r="B515" s="1" t="s">
        <v>502</v>
      </c>
      <c r="C515" s="1"/>
      <c r="D515" s="1"/>
      <c r="E515" s="34">
        <f>+F512</f>
        <v>17.202725694785823</v>
      </c>
      <c r="F515" s="1"/>
    </row>
    <row r="516" spans="1:6" x14ac:dyDescent="0.25">
      <c r="A516" s="1"/>
      <c r="B516" s="1" t="s">
        <v>503</v>
      </c>
      <c r="C516" s="1"/>
      <c r="D516" s="1"/>
      <c r="E516" s="34">
        <f>+F517-E515</f>
        <v>-17.202725694785823</v>
      </c>
      <c r="F516" s="1"/>
    </row>
    <row r="517" spans="1:6" x14ac:dyDescent="0.25">
      <c r="A517" s="1"/>
      <c r="B517" s="1"/>
      <c r="C517" s="1" t="s">
        <v>295</v>
      </c>
      <c r="D517" s="1"/>
      <c r="E517" s="1"/>
      <c r="F517" s="34">
        <f>+'Mayorización '!A71</f>
        <v>0</v>
      </c>
    </row>
    <row r="518" spans="1:6" x14ac:dyDescent="0.25">
      <c r="A518" s="1"/>
      <c r="B518" s="476" t="s">
        <v>504</v>
      </c>
      <c r="C518" s="477"/>
      <c r="D518" s="1"/>
      <c r="E518" s="1"/>
      <c r="F518" s="1"/>
    </row>
  </sheetData>
  <mergeCells count="99">
    <mergeCell ref="B506:C506"/>
    <mergeCell ref="B509:C509"/>
    <mergeCell ref="B487:C487"/>
    <mergeCell ref="B452:C452"/>
    <mergeCell ref="B447:C447"/>
    <mergeCell ref="B470:C470"/>
    <mergeCell ref="B453:C453"/>
    <mergeCell ref="B488:C488"/>
    <mergeCell ref="B471:C471"/>
    <mergeCell ref="B278:C278"/>
    <mergeCell ref="B274:C274"/>
    <mergeCell ref="B284:C284"/>
    <mergeCell ref="B217:C217"/>
    <mergeCell ref="B213:C213"/>
    <mergeCell ref="B218:C218"/>
    <mergeCell ref="B222:C222"/>
    <mergeCell ref="B229:C229"/>
    <mergeCell ref="B273:C273"/>
    <mergeCell ref="B269:C269"/>
    <mergeCell ref="B241:C241"/>
    <mergeCell ref="B237:C237"/>
    <mergeCell ref="B242:C242"/>
    <mergeCell ref="B246:C246"/>
    <mergeCell ref="B260:C260"/>
    <mergeCell ref="B186:C186"/>
    <mergeCell ref="B187:C187"/>
    <mergeCell ref="B203:C203"/>
    <mergeCell ref="B191:C191"/>
    <mergeCell ref="B212:C212"/>
    <mergeCell ref="B204:C204"/>
    <mergeCell ref="B155:C155"/>
    <mergeCell ref="B168:C168"/>
    <mergeCell ref="B173:C173"/>
    <mergeCell ref="B174:C174"/>
    <mergeCell ref="B182:C182"/>
    <mergeCell ref="B164:C164"/>
    <mergeCell ref="B115:C115"/>
    <mergeCell ref="B124:C124"/>
    <mergeCell ref="B123:C123"/>
    <mergeCell ref="B129:C129"/>
    <mergeCell ref="B144:C144"/>
    <mergeCell ref="B40:C40"/>
    <mergeCell ref="B57:C57"/>
    <mergeCell ref="B68:C68"/>
    <mergeCell ref="B69:C69"/>
    <mergeCell ref="B79:C79"/>
    <mergeCell ref="B22:C22"/>
    <mergeCell ref="B32:C32"/>
    <mergeCell ref="B26:C26"/>
    <mergeCell ref="B33:C33"/>
    <mergeCell ref="B2:C2"/>
    <mergeCell ref="B3:C3"/>
    <mergeCell ref="B9:C9"/>
    <mergeCell ref="B17:C17"/>
    <mergeCell ref="B296:C296"/>
    <mergeCell ref="B297:C297"/>
    <mergeCell ref="B292:C292"/>
    <mergeCell ref="B301:C301"/>
    <mergeCell ref="B48:C48"/>
    <mergeCell ref="B53:C53"/>
    <mergeCell ref="B84:C84"/>
    <mergeCell ref="B93:C93"/>
    <mergeCell ref="B88:C88"/>
    <mergeCell ref="B94:C94"/>
    <mergeCell ref="B102:C102"/>
    <mergeCell ref="B114:C114"/>
    <mergeCell ref="B154:C154"/>
    <mergeCell ref="B145:C145"/>
    <mergeCell ref="B133:C133"/>
    <mergeCell ref="B160:C160"/>
    <mergeCell ref="B308:C308"/>
    <mergeCell ref="B320:C320"/>
    <mergeCell ref="B321:C321"/>
    <mergeCell ref="B316:C316"/>
    <mergeCell ref="B337:C337"/>
    <mergeCell ref="B325:C325"/>
    <mergeCell ref="B426:C426"/>
    <mergeCell ref="B435:C435"/>
    <mergeCell ref="B346:C346"/>
    <mergeCell ref="B338:C338"/>
    <mergeCell ref="B351:C351"/>
    <mergeCell ref="B352:C352"/>
    <mergeCell ref="B347:C347"/>
    <mergeCell ref="B510:C510"/>
    <mergeCell ref="B513:C513"/>
    <mergeCell ref="B514:C514"/>
    <mergeCell ref="B518:C518"/>
    <mergeCell ref="B356:C356"/>
    <mergeCell ref="B362:C362"/>
    <mergeCell ref="B370:C370"/>
    <mergeCell ref="B375:C375"/>
    <mergeCell ref="B446:C446"/>
    <mergeCell ref="B379:C379"/>
    <mergeCell ref="B393:C393"/>
    <mergeCell ref="B407:C407"/>
    <mergeCell ref="B411:C411"/>
    <mergeCell ref="B402:C402"/>
    <mergeCell ref="B418:C418"/>
    <mergeCell ref="B431:C431"/>
  </mergeCells>
  <conditionalFormatting sqref="C6">
    <cfRule type="duplicateValues" dxfId="31" priority="25"/>
  </conditionalFormatting>
  <conditionalFormatting sqref="C6">
    <cfRule type="duplicateValues" dxfId="30" priority="26"/>
  </conditionalFormatting>
  <conditionalFormatting sqref="C36">
    <cfRule type="duplicateValues" dxfId="29" priority="23"/>
  </conditionalFormatting>
  <conditionalFormatting sqref="C36">
    <cfRule type="duplicateValues" dxfId="28" priority="24"/>
  </conditionalFormatting>
  <conditionalFormatting sqref="C60">
    <cfRule type="duplicateValues" dxfId="27" priority="21"/>
  </conditionalFormatting>
  <conditionalFormatting sqref="C60">
    <cfRule type="duplicateValues" dxfId="26" priority="22"/>
  </conditionalFormatting>
  <conditionalFormatting sqref="C105">
    <cfRule type="duplicateValues" dxfId="25" priority="19"/>
  </conditionalFormatting>
  <conditionalFormatting sqref="C105">
    <cfRule type="duplicateValues" dxfId="24" priority="20"/>
  </conditionalFormatting>
  <conditionalFormatting sqref="C136">
    <cfRule type="duplicateValues" dxfId="23" priority="17"/>
  </conditionalFormatting>
  <conditionalFormatting sqref="C136">
    <cfRule type="duplicateValues" dxfId="22" priority="18"/>
  </conditionalFormatting>
  <conditionalFormatting sqref="C171">
    <cfRule type="duplicateValues" dxfId="21" priority="15"/>
  </conditionalFormatting>
  <conditionalFormatting sqref="C171">
    <cfRule type="duplicateValues" dxfId="20" priority="16"/>
  </conditionalFormatting>
  <conditionalFormatting sqref="C194">
    <cfRule type="duplicateValues" dxfId="19" priority="13"/>
  </conditionalFormatting>
  <conditionalFormatting sqref="C194">
    <cfRule type="duplicateValues" dxfId="18" priority="14"/>
  </conditionalFormatting>
  <conditionalFormatting sqref="C225">
    <cfRule type="duplicateValues" dxfId="17" priority="11"/>
  </conditionalFormatting>
  <conditionalFormatting sqref="C225">
    <cfRule type="duplicateValues" dxfId="16" priority="12"/>
  </conditionalFormatting>
  <conditionalFormatting sqref="C249">
    <cfRule type="duplicateValues" dxfId="15" priority="9"/>
  </conditionalFormatting>
  <conditionalFormatting sqref="C249">
    <cfRule type="duplicateValues" dxfId="14" priority="10"/>
  </conditionalFormatting>
  <conditionalFormatting sqref="C281">
    <cfRule type="duplicateValues" dxfId="13" priority="7"/>
  </conditionalFormatting>
  <conditionalFormatting sqref="C281">
    <cfRule type="duplicateValues" dxfId="12" priority="8"/>
  </conditionalFormatting>
  <conditionalFormatting sqref="C304">
    <cfRule type="duplicateValues" dxfId="11" priority="5"/>
  </conditionalFormatting>
  <conditionalFormatting sqref="C304">
    <cfRule type="duplicateValues" dxfId="10" priority="6"/>
  </conditionalFormatting>
  <conditionalFormatting sqref="C328">
    <cfRule type="duplicateValues" dxfId="9" priority="3"/>
  </conditionalFormatting>
  <conditionalFormatting sqref="C328">
    <cfRule type="duplicateValues" dxfId="8" priority="4"/>
  </conditionalFormatting>
  <conditionalFormatting sqref="C414">
    <cfRule type="duplicateValues" dxfId="7" priority="1"/>
  </conditionalFormatting>
  <conditionalFormatting sqref="C414">
    <cfRule type="duplicateValues" dxfId="6" priority="2"/>
  </conditionalFormatting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59"/>
  <sheetViews>
    <sheetView topLeftCell="C240" zoomScaleNormal="100" zoomScaleSheetLayoutView="100" workbookViewId="0">
      <selection activeCell="Q257" sqref="Q257"/>
    </sheetView>
  </sheetViews>
  <sheetFormatPr baseColWidth="10" defaultRowHeight="15" x14ac:dyDescent="0.25"/>
  <cols>
    <col min="2" max="2" width="32.28515625" customWidth="1"/>
    <col min="4" max="4" width="11.42578125" style="35"/>
    <col min="5" max="5" width="13.7109375" bestFit="1" customWidth="1"/>
  </cols>
  <sheetData>
    <row r="2" spans="1:18" x14ac:dyDescent="0.25">
      <c r="C2" s="39"/>
    </row>
    <row r="3" spans="1:18" ht="15.75" x14ac:dyDescent="0.25">
      <c r="A3" s="494"/>
      <c r="B3" s="494"/>
      <c r="C3" s="494"/>
    </row>
    <row r="4" spans="1:18" ht="15.75" x14ac:dyDescent="0.25">
      <c r="A4" s="506" t="s">
        <v>208</v>
      </c>
      <c r="B4" s="507"/>
      <c r="C4" s="507"/>
      <c r="D4" s="507"/>
      <c r="E4" s="507"/>
      <c r="F4" s="507"/>
      <c r="G4" s="507"/>
      <c r="H4" s="507"/>
      <c r="I4" s="507"/>
      <c r="J4" s="507"/>
      <c r="K4" s="507"/>
      <c r="L4" s="507"/>
      <c r="M4" s="507"/>
      <c r="N4" s="507"/>
      <c r="O4" s="507"/>
      <c r="P4" s="507"/>
      <c r="Q4" s="507"/>
      <c r="R4" s="508"/>
    </row>
    <row r="5" spans="1:18" ht="15.75" x14ac:dyDescent="0.25">
      <c r="A5" s="41" t="s">
        <v>209</v>
      </c>
      <c r="B5" s="40"/>
      <c r="C5" s="39"/>
      <c r="D5" s="55"/>
      <c r="E5" s="39"/>
      <c r="F5" s="39"/>
      <c r="G5" s="39"/>
      <c r="H5" s="494"/>
      <c r="I5" s="494"/>
      <c r="J5" s="494"/>
      <c r="K5" s="39"/>
      <c r="L5" s="39"/>
      <c r="M5" s="39"/>
      <c r="N5" s="39"/>
      <c r="O5" s="39"/>
      <c r="P5" s="39"/>
      <c r="Q5" s="39"/>
      <c r="R5" s="42"/>
    </row>
    <row r="6" spans="1:18" ht="15.75" x14ac:dyDescent="0.25">
      <c r="A6" s="41" t="s">
        <v>228</v>
      </c>
      <c r="B6" s="493" t="s">
        <v>244</v>
      </c>
      <c r="C6" s="493"/>
      <c r="D6" s="55"/>
      <c r="E6" s="39"/>
      <c r="F6" s="39"/>
      <c r="G6" s="39"/>
      <c r="H6" s="494"/>
      <c r="I6" s="494"/>
      <c r="J6" s="494"/>
      <c r="K6" s="39"/>
      <c r="L6" s="39"/>
      <c r="M6" s="39"/>
      <c r="N6" s="39"/>
      <c r="O6" s="39"/>
      <c r="P6" s="39"/>
      <c r="Q6" s="39"/>
      <c r="R6" s="42"/>
    </row>
    <row r="7" spans="1:18" ht="15.75" x14ac:dyDescent="0.25">
      <c r="A7" s="492" t="s">
        <v>210</v>
      </c>
      <c r="B7" s="493"/>
      <c r="C7" s="40">
        <v>1</v>
      </c>
      <c r="D7" s="56"/>
      <c r="E7" s="39"/>
      <c r="F7" s="39"/>
      <c r="G7" s="39"/>
      <c r="H7" s="494"/>
      <c r="I7" s="494"/>
      <c r="J7" s="494"/>
      <c r="K7" s="39"/>
      <c r="L7" s="39"/>
      <c r="M7" s="39"/>
      <c r="N7" s="39"/>
      <c r="O7" s="39"/>
      <c r="P7" s="39"/>
      <c r="Q7" s="39"/>
      <c r="R7" s="42"/>
    </row>
    <row r="8" spans="1:18" ht="15.75" x14ac:dyDescent="0.25">
      <c r="A8" s="495" t="s">
        <v>211</v>
      </c>
      <c r="B8" s="494"/>
      <c r="C8" s="494"/>
      <c r="D8" s="55"/>
      <c r="E8" s="39"/>
      <c r="F8" s="39"/>
      <c r="G8" s="39"/>
      <c r="H8" s="494"/>
      <c r="I8" s="494"/>
      <c r="J8" s="494"/>
      <c r="K8" s="39"/>
      <c r="L8" s="39"/>
      <c r="M8" s="39"/>
      <c r="N8" s="39"/>
      <c r="O8" s="39"/>
      <c r="P8" s="39"/>
      <c r="Q8" s="39"/>
      <c r="R8" s="42"/>
    </row>
    <row r="9" spans="1:18" ht="15.75" x14ac:dyDescent="0.25">
      <c r="A9" s="496" t="s">
        <v>212</v>
      </c>
      <c r="B9" s="496"/>
      <c r="C9" s="496"/>
      <c r="D9" s="496"/>
      <c r="E9" s="496"/>
      <c r="F9" s="496" t="s">
        <v>213</v>
      </c>
      <c r="G9" s="496"/>
      <c r="H9" s="496"/>
      <c r="I9" s="496"/>
      <c r="J9" s="496"/>
      <c r="K9" s="497" t="s">
        <v>221</v>
      </c>
      <c r="L9" s="497"/>
      <c r="M9" s="497"/>
      <c r="N9" s="497"/>
      <c r="O9" s="498" t="s">
        <v>222</v>
      </c>
      <c r="P9" s="499"/>
      <c r="Q9" s="499"/>
      <c r="R9" s="500"/>
    </row>
    <row r="10" spans="1:18" ht="31.5" x14ac:dyDescent="0.25">
      <c r="A10" s="48" t="s">
        <v>0</v>
      </c>
      <c r="B10" s="48" t="s">
        <v>1</v>
      </c>
      <c r="C10" s="48" t="s">
        <v>214</v>
      </c>
      <c r="D10" s="57" t="s">
        <v>215</v>
      </c>
      <c r="E10" s="49" t="s">
        <v>216</v>
      </c>
      <c r="F10" s="48" t="s">
        <v>0</v>
      </c>
      <c r="G10" s="49" t="s">
        <v>217</v>
      </c>
      <c r="H10" s="400" t="s">
        <v>218</v>
      </c>
      <c r="I10" s="49" t="s">
        <v>219</v>
      </c>
      <c r="J10" s="49" t="s">
        <v>216</v>
      </c>
      <c r="K10" s="48" t="s">
        <v>0</v>
      </c>
      <c r="L10" s="49" t="s">
        <v>321</v>
      </c>
      <c r="M10" s="49" t="s">
        <v>224</v>
      </c>
      <c r="N10" s="49" t="s">
        <v>216</v>
      </c>
      <c r="O10" s="490"/>
      <c r="P10" s="491"/>
      <c r="Q10" s="491"/>
      <c r="R10" s="501"/>
    </row>
    <row r="11" spans="1:18" ht="15.75" x14ac:dyDescent="0.25">
      <c r="A11" s="50">
        <v>42278</v>
      </c>
      <c r="B11" s="14" t="s">
        <v>145</v>
      </c>
      <c r="C11" s="37">
        <v>1</v>
      </c>
      <c r="D11" s="51">
        <f>+'kardex reactivos 2'!G370</f>
        <v>5.1999999999999998E-2</v>
      </c>
      <c r="E11" s="51">
        <f>+C11*D11</f>
        <v>5.1999999999999998E-2</v>
      </c>
      <c r="F11" s="37"/>
      <c r="G11" s="37"/>
      <c r="H11" s="37">
        <f>+'Minutos MOD por exmen '!C37</f>
        <v>8.3333333333333329E-2</v>
      </c>
      <c r="I11" s="100">
        <f>+'tasa MOD '!M7</f>
        <v>7.460887357795225</v>
      </c>
      <c r="J11" s="37">
        <f>+I11*H11</f>
        <v>0.62174061314960205</v>
      </c>
      <c r="K11" s="37"/>
      <c r="L11" s="37">
        <f>+J15</f>
        <v>0.62174061314960205</v>
      </c>
      <c r="M11" s="109">
        <f>+'tasa cif'!G9</f>
        <v>0.76985269116945931</v>
      </c>
      <c r="N11" s="37">
        <f>+L11*M11</f>
        <v>0.47864868424257084</v>
      </c>
      <c r="O11" s="502" t="s">
        <v>225</v>
      </c>
      <c r="P11" s="503"/>
      <c r="Q11" s="277">
        <f>+E15</f>
        <v>5.1999999999999998E-2</v>
      </c>
      <c r="R11" s="278"/>
    </row>
    <row r="12" spans="1:18" ht="15.75" x14ac:dyDescent="0.25">
      <c r="A12" s="50"/>
      <c r="B12" s="54"/>
      <c r="C12" s="37"/>
      <c r="D12" s="51"/>
      <c r="E12" s="51">
        <f t="shared" ref="E12:E14" si="0">+C12*D12</f>
        <v>0</v>
      </c>
      <c r="F12" s="37"/>
      <c r="G12" s="37"/>
      <c r="H12" s="37"/>
      <c r="I12" s="37"/>
      <c r="J12" s="37"/>
      <c r="K12" s="37"/>
      <c r="L12" s="37"/>
      <c r="M12" s="37"/>
      <c r="N12" s="37"/>
      <c r="O12" s="487" t="s">
        <v>226</v>
      </c>
      <c r="P12" s="488"/>
      <c r="Q12" s="39">
        <f>+J15</f>
        <v>0.62174061314960205</v>
      </c>
      <c r="R12" s="233"/>
    </row>
    <row r="13" spans="1:18" ht="15.75" x14ac:dyDescent="0.25">
      <c r="A13" s="50"/>
      <c r="B13" s="37"/>
      <c r="C13" s="37"/>
      <c r="D13" s="51"/>
      <c r="E13" s="51">
        <f t="shared" si="0"/>
        <v>0</v>
      </c>
      <c r="F13" s="37"/>
      <c r="G13" s="37"/>
      <c r="H13" s="37"/>
      <c r="I13" s="37"/>
      <c r="J13" s="37"/>
      <c r="K13" s="37"/>
      <c r="L13" s="37"/>
      <c r="M13" s="37"/>
      <c r="N13" s="37"/>
      <c r="O13" s="279" t="s">
        <v>227</v>
      </c>
      <c r="P13" s="270"/>
      <c r="Q13" s="39">
        <f>+N15</f>
        <v>0.47864868424257084</v>
      </c>
      <c r="R13" s="233"/>
    </row>
    <row r="14" spans="1:18" ht="16.5" thickBot="1" x14ac:dyDescent="0.3">
      <c r="A14" s="50"/>
      <c r="B14" s="37"/>
      <c r="C14" s="37"/>
      <c r="D14" s="51"/>
      <c r="E14" s="51">
        <f t="shared" si="0"/>
        <v>0</v>
      </c>
      <c r="F14" s="37"/>
      <c r="G14" s="37"/>
      <c r="H14" s="37"/>
      <c r="I14" s="37"/>
      <c r="J14" s="37"/>
      <c r="K14" s="37"/>
      <c r="L14" s="37"/>
      <c r="M14" s="37"/>
      <c r="N14" s="37"/>
      <c r="O14" s="271"/>
      <c r="P14" s="270"/>
      <c r="Q14" s="276">
        <f>SUM(Q11:Q13)</f>
        <v>1.152389297392173</v>
      </c>
      <c r="R14" s="233"/>
    </row>
    <row r="15" spans="1:18" ht="16.5" thickTop="1" x14ac:dyDescent="0.25">
      <c r="A15" s="489" t="s">
        <v>220</v>
      </c>
      <c r="B15" s="489"/>
      <c r="C15" s="489"/>
      <c r="D15" s="489"/>
      <c r="E15" s="52">
        <f>SUM(E11:E14)</f>
        <v>5.1999999999999998E-2</v>
      </c>
      <c r="F15" s="37"/>
      <c r="G15" s="37"/>
      <c r="H15" s="489" t="s">
        <v>220</v>
      </c>
      <c r="I15" s="489"/>
      <c r="J15" s="53">
        <f>+J11</f>
        <v>0.62174061314960205</v>
      </c>
      <c r="K15" s="37"/>
      <c r="L15" s="37"/>
      <c r="M15" s="37"/>
      <c r="N15" s="37">
        <f>+N11</f>
        <v>0.47864868424257084</v>
      </c>
      <c r="O15" s="490"/>
      <c r="P15" s="491"/>
      <c r="Q15" s="272"/>
      <c r="R15" s="280"/>
    </row>
    <row r="18" spans="1:18" ht="15.75" x14ac:dyDescent="0.25">
      <c r="A18" s="506" t="s">
        <v>208</v>
      </c>
      <c r="B18" s="507"/>
      <c r="C18" s="507"/>
      <c r="D18" s="507"/>
      <c r="E18" s="507"/>
      <c r="F18" s="507"/>
      <c r="G18" s="507"/>
      <c r="H18" s="507"/>
      <c r="I18" s="507"/>
      <c r="J18" s="507"/>
      <c r="K18" s="507"/>
      <c r="L18" s="507"/>
      <c r="M18" s="507"/>
      <c r="N18" s="507"/>
      <c r="O18" s="507"/>
      <c r="P18" s="507"/>
      <c r="Q18" s="507"/>
      <c r="R18" s="508"/>
    </row>
    <row r="19" spans="1:18" ht="15.75" x14ac:dyDescent="0.25">
      <c r="A19" s="60" t="s">
        <v>209</v>
      </c>
      <c r="B19" s="59"/>
      <c r="C19" s="39"/>
      <c r="D19" s="55"/>
      <c r="E19" s="39"/>
      <c r="F19" s="39"/>
      <c r="G19" s="39"/>
      <c r="H19" s="494"/>
      <c r="I19" s="494"/>
      <c r="J19" s="494"/>
      <c r="K19" s="39"/>
      <c r="L19" s="39"/>
      <c r="M19" s="39"/>
      <c r="N19" s="39"/>
      <c r="O19" s="39"/>
      <c r="P19" s="39"/>
      <c r="Q19" s="39"/>
      <c r="R19" s="42"/>
    </row>
    <row r="20" spans="1:18" ht="15.75" x14ac:dyDescent="0.25">
      <c r="A20" s="60" t="s">
        <v>228</v>
      </c>
      <c r="B20" s="493" t="s">
        <v>240</v>
      </c>
      <c r="C20" s="493"/>
      <c r="D20" s="55"/>
      <c r="E20" s="39"/>
      <c r="F20" s="39"/>
      <c r="G20" s="39"/>
      <c r="H20" s="494"/>
      <c r="I20" s="494"/>
      <c r="J20" s="494"/>
      <c r="K20" s="39"/>
      <c r="L20" s="39"/>
      <c r="M20" s="39"/>
      <c r="N20" s="39"/>
      <c r="O20" s="39"/>
      <c r="P20" s="39"/>
      <c r="Q20" s="39"/>
      <c r="R20" s="42"/>
    </row>
    <row r="21" spans="1:18" ht="15.75" x14ac:dyDescent="0.25">
      <c r="A21" s="492" t="s">
        <v>210</v>
      </c>
      <c r="B21" s="493"/>
      <c r="C21" s="59">
        <v>2</v>
      </c>
      <c r="D21" s="56"/>
      <c r="E21" s="39"/>
      <c r="F21" s="39"/>
      <c r="G21" s="39"/>
      <c r="H21" s="494"/>
      <c r="I21" s="494"/>
      <c r="J21" s="494"/>
      <c r="K21" s="39"/>
      <c r="L21" s="39"/>
      <c r="M21" s="39"/>
      <c r="N21" s="39"/>
      <c r="O21" s="39"/>
      <c r="P21" s="39"/>
      <c r="Q21" s="39"/>
      <c r="R21" s="42"/>
    </row>
    <row r="22" spans="1:18" ht="15.75" x14ac:dyDescent="0.25">
      <c r="A22" s="510" t="s">
        <v>211</v>
      </c>
      <c r="B22" s="511"/>
      <c r="C22" s="511"/>
      <c r="D22" s="55"/>
      <c r="E22" s="39"/>
      <c r="F22" s="39"/>
      <c r="G22" s="39"/>
      <c r="H22" s="511"/>
      <c r="I22" s="511"/>
      <c r="J22" s="511"/>
      <c r="K22" s="39"/>
      <c r="L22" s="39"/>
      <c r="M22" s="39"/>
      <c r="N22" s="39"/>
      <c r="O22" s="39"/>
      <c r="P22" s="39"/>
      <c r="Q22" s="39"/>
      <c r="R22" s="42"/>
    </row>
    <row r="23" spans="1:18" ht="15.75" customHeight="1" x14ac:dyDescent="0.25">
      <c r="A23" s="512" t="s">
        <v>212</v>
      </c>
      <c r="B23" s="513"/>
      <c r="C23" s="513"/>
      <c r="D23" s="513"/>
      <c r="E23" s="514"/>
      <c r="F23" s="512" t="s">
        <v>213</v>
      </c>
      <c r="G23" s="513"/>
      <c r="H23" s="513"/>
      <c r="I23" s="513"/>
      <c r="J23" s="514"/>
      <c r="K23" s="515" t="s">
        <v>221</v>
      </c>
      <c r="L23" s="516"/>
      <c r="M23" s="516"/>
      <c r="N23" s="517"/>
      <c r="O23" s="496" t="s">
        <v>222</v>
      </c>
      <c r="P23" s="496"/>
      <c r="Q23" s="496"/>
      <c r="R23" s="496"/>
    </row>
    <row r="24" spans="1:18" ht="31.5" x14ac:dyDescent="0.25">
      <c r="A24" s="48" t="s">
        <v>0</v>
      </c>
      <c r="B24" s="48" t="s">
        <v>1</v>
      </c>
      <c r="C24" s="48" t="s">
        <v>214</v>
      </c>
      <c r="D24" s="57" t="s">
        <v>215</v>
      </c>
      <c r="E24" s="49" t="s">
        <v>216</v>
      </c>
      <c r="F24" s="48" t="s">
        <v>0</v>
      </c>
      <c r="G24" s="49" t="s">
        <v>217</v>
      </c>
      <c r="H24" s="48" t="s">
        <v>218</v>
      </c>
      <c r="I24" s="49" t="s">
        <v>219</v>
      </c>
      <c r="J24" s="49" t="s">
        <v>216</v>
      </c>
      <c r="K24" s="48" t="s">
        <v>0</v>
      </c>
      <c r="L24" s="49" t="s">
        <v>321</v>
      </c>
      <c r="M24" s="49" t="s">
        <v>224</v>
      </c>
      <c r="N24" s="49" t="s">
        <v>216</v>
      </c>
      <c r="O24" s="496"/>
      <c r="P24" s="496"/>
      <c r="Q24" s="496"/>
      <c r="R24" s="496"/>
    </row>
    <row r="25" spans="1:18" ht="15.75" x14ac:dyDescent="0.25">
      <c r="A25" s="50">
        <v>42283</v>
      </c>
      <c r="B25" s="44" t="s">
        <v>175</v>
      </c>
      <c r="C25" s="396">
        <v>1.5</v>
      </c>
      <c r="D25" s="51">
        <f>+'kardex reactivos 3'!G221</f>
        <v>3.1920000000000004E-2</v>
      </c>
      <c r="E25" s="51">
        <f>+C25*D25</f>
        <v>4.7880000000000006E-2</v>
      </c>
      <c r="F25" s="37"/>
      <c r="G25" s="37"/>
      <c r="H25" s="37">
        <f>+'Minutos MOD por exmen '!C38</f>
        <v>0.13333333333333333</v>
      </c>
      <c r="I25" s="100">
        <f>+'tasa MOD '!M7</f>
        <v>7.460887357795225</v>
      </c>
      <c r="J25" s="37">
        <f>+I25*H25</f>
        <v>0.9947849810393633</v>
      </c>
      <c r="K25" s="37"/>
      <c r="L25" s="37">
        <f>+J28</f>
        <v>0.9947849810393633</v>
      </c>
      <c r="M25" s="109">
        <f>+'tasa cif'!G9</f>
        <v>0.76985269116945931</v>
      </c>
      <c r="N25" s="37">
        <f>+M25*L25</f>
        <v>0.76583789478811337</v>
      </c>
      <c r="O25" s="504" t="s">
        <v>225</v>
      </c>
      <c r="P25" s="505"/>
      <c r="Q25" s="35">
        <f>+E28</f>
        <v>7.7429999999999999E-2</v>
      </c>
      <c r="R25" s="38"/>
    </row>
    <row r="26" spans="1:18" ht="31.5" customHeight="1" x14ac:dyDescent="0.25">
      <c r="A26" s="50">
        <v>42283</v>
      </c>
      <c r="B26" s="45" t="s">
        <v>241</v>
      </c>
      <c r="C26" s="396">
        <v>1</v>
      </c>
      <c r="D26" s="51">
        <f>+'kardex reactivos 3'!G201</f>
        <v>2.955E-2</v>
      </c>
      <c r="E26" s="51">
        <f>+D26*C26</f>
        <v>2.955E-2</v>
      </c>
      <c r="F26" s="37"/>
      <c r="G26" s="37"/>
      <c r="H26" s="37"/>
      <c r="I26" s="37"/>
      <c r="J26" s="37"/>
      <c r="K26" s="37"/>
      <c r="L26" s="37"/>
      <c r="M26" s="37"/>
      <c r="N26" s="37"/>
      <c r="O26" s="504" t="s">
        <v>226</v>
      </c>
      <c r="P26" s="505"/>
      <c r="Q26">
        <f>+J28</f>
        <v>0.9947849810393633</v>
      </c>
      <c r="R26" s="38"/>
    </row>
    <row r="27" spans="1:18" ht="15.75" x14ac:dyDescent="0.25">
      <c r="A27" s="50"/>
      <c r="B27" s="37"/>
      <c r="C27" s="37"/>
      <c r="D27" s="51"/>
      <c r="E27" s="51">
        <f t="shared" ref="E27" si="1">+C27*D27</f>
        <v>0</v>
      </c>
      <c r="F27" s="37"/>
      <c r="G27" s="37"/>
      <c r="H27" s="37"/>
      <c r="I27" s="37"/>
      <c r="J27" s="37"/>
      <c r="K27" s="37"/>
      <c r="L27" s="37"/>
      <c r="M27" s="37"/>
      <c r="N27" s="37"/>
      <c r="O27" s="43" t="s">
        <v>227</v>
      </c>
      <c r="P27" s="61"/>
      <c r="Q27">
        <f>+N28</f>
        <v>0.76583789478811337</v>
      </c>
      <c r="R27" s="38"/>
    </row>
    <row r="28" spans="1:18" ht="16.5" thickBot="1" x14ac:dyDescent="0.3">
      <c r="A28" s="489" t="s">
        <v>220</v>
      </c>
      <c r="B28" s="489"/>
      <c r="C28" s="489"/>
      <c r="D28" s="489"/>
      <c r="E28" s="52">
        <f>SUM(E25:E27)</f>
        <v>7.7429999999999999E-2</v>
      </c>
      <c r="F28" s="37"/>
      <c r="G28" s="37"/>
      <c r="H28" s="489" t="s">
        <v>220</v>
      </c>
      <c r="I28" s="489"/>
      <c r="J28" s="53">
        <f>+J25</f>
        <v>0.9947849810393633</v>
      </c>
      <c r="K28" s="37"/>
      <c r="L28" s="37"/>
      <c r="M28" s="37"/>
      <c r="N28" s="37">
        <f>+N25</f>
        <v>0.76583789478811337</v>
      </c>
      <c r="O28" s="490"/>
      <c r="P28" s="491"/>
      <c r="Q28" s="377">
        <f>SUM(Q25:Q27)</f>
        <v>1.8380528758274766</v>
      </c>
      <c r="R28" s="357"/>
    </row>
    <row r="29" spans="1:18" ht="15.75" thickTop="1" x14ac:dyDescent="0.25"/>
    <row r="32" spans="1:18" ht="15.75" x14ac:dyDescent="0.25">
      <c r="A32" s="506" t="s">
        <v>208</v>
      </c>
      <c r="B32" s="507"/>
      <c r="C32" s="507"/>
      <c r="D32" s="507"/>
      <c r="E32" s="507"/>
      <c r="F32" s="507"/>
      <c r="G32" s="507"/>
      <c r="H32" s="507"/>
      <c r="I32" s="507"/>
      <c r="J32" s="507"/>
      <c r="K32" s="507"/>
      <c r="L32" s="507"/>
      <c r="M32" s="507"/>
      <c r="N32" s="507"/>
      <c r="O32" s="507"/>
      <c r="P32" s="507"/>
      <c r="Q32" s="507"/>
      <c r="R32" s="508"/>
    </row>
    <row r="33" spans="1:18" ht="15.75" x14ac:dyDescent="0.25">
      <c r="A33" s="105" t="s">
        <v>209</v>
      </c>
      <c r="B33" s="104"/>
      <c r="C33" s="39"/>
      <c r="D33" s="55"/>
      <c r="E33" s="39"/>
      <c r="F33" s="39"/>
      <c r="G33" s="39"/>
      <c r="H33" s="494"/>
      <c r="I33" s="494"/>
      <c r="J33" s="494"/>
      <c r="K33" s="39"/>
      <c r="L33" s="39"/>
      <c r="M33" s="39"/>
      <c r="N33" s="39"/>
      <c r="O33" s="39"/>
      <c r="P33" s="39"/>
      <c r="Q33" s="39"/>
      <c r="R33" s="42"/>
    </row>
    <row r="34" spans="1:18" ht="15.75" x14ac:dyDescent="0.25">
      <c r="A34" s="105" t="s">
        <v>228</v>
      </c>
      <c r="B34" s="493" t="s">
        <v>242</v>
      </c>
      <c r="C34" s="493"/>
      <c r="D34" s="55"/>
      <c r="E34" s="39"/>
      <c r="F34" s="39"/>
      <c r="G34" s="39"/>
      <c r="H34" s="494"/>
      <c r="I34" s="494"/>
      <c r="J34" s="494"/>
      <c r="K34" s="39"/>
      <c r="L34" s="39"/>
      <c r="M34" s="39"/>
      <c r="N34" s="39"/>
      <c r="O34" s="39"/>
      <c r="P34" s="39"/>
      <c r="Q34" s="39"/>
      <c r="R34" s="42"/>
    </row>
    <row r="35" spans="1:18" ht="15.75" x14ac:dyDescent="0.25">
      <c r="A35" s="492" t="s">
        <v>210</v>
      </c>
      <c r="B35" s="493"/>
      <c r="C35" s="104">
        <v>3</v>
      </c>
      <c r="D35" s="56"/>
      <c r="E35" s="39"/>
      <c r="F35" s="39"/>
      <c r="G35" s="39"/>
      <c r="H35" s="494"/>
      <c r="I35" s="494"/>
      <c r="J35" s="494"/>
      <c r="K35" s="39"/>
      <c r="L35" s="39"/>
      <c r="M35" s="39"/>
      <c r="N35" s="39"/>
      <c r="O35" s="39"/>
      <c r="P35" s="39"/>
      <c r="Q35" s="39"/>
      <c r="R35" s="42"/>
    </row>
    <row r="36" spans="1:18" ht="15.75" x14ac:dyDescent="0.25">
      <c r="A36" s="495" t="s">
        <v>211</v>
      </c>
      <c r="B36" s="494"/>
      <c r="C36" s="494"/>
      <c r="D36" s="55"/>
      <c r="E36" s="39"/>
      <c r="F36" s="39"/>
      <c r="G36" s="39"/>
      <c r="H36" s="494"/>
      <c r="I36" s="494"/>
      <c r="J36" s="494"/>
      <c r="K36" s="39"/>
      <c r="L36" s="39"/>
      <c r="M36" s="39"/>
      <c r="N36" s="39"/>
      <c r="O36" s="39"/>
      <c r="P36" s="39"/>
      <c r="Q36" s="39"/>
      <c r="R36" s="42"/>
    </row>
    <row r="37" spans="1:18" ht="15.75" x14ac:dyDescent="0.25">
      <c r="A37" s="496" t="s">
        <v>212</v>
      </c>
      <c r="B37" s="496"/>
      <c r="C37" s="496"/>
      <c r="D37" s="496"/>
      <c r="E37" s="496"/>
      <c r="F37" s="496" t="s">
        <v>213</v>
      </c>
      <c r="G37" s="496"/>
      <c r="H37" s="496"/>
      <c r="I37" s="496"/>
      <c r="J37" s="496"/>
      <c r="K37" s="497" t="s">
        <v>221</v>
      </c>
      <c r="L37" s="497"/>
      <c r="M37" s="497"/>
      <c r="N37" s="497"/>
      <c r="O37" s="496" t="s">
        <v>222</v>
      </c>
      <c r="P37" s="496"/>
      <c r="Q37" s="496"/>
      <c r="R37" s="496"/>
    </row>
    <row r="38" spans="1:18" ht="31.5" x14ac:dyDescent="0.25">
      <c r="A38" s="48" t="s">
        <v>0</v>
      </c>
      <c r="B38" s="48" t="s">
        <v>1</v>
      </c>
      <c r="C38" s="48" t="s">
        <v>214</v>
      </c>
      <c r="D38" s="57" t="s">
        <v>215</v>
      </c>
      <c r="E38" s="49" t="s">
        <v>216</v>
      </c>
      <c r="F38" s="48" t="s">
        <v>0</v>
      </c>
      <c r="G38" s="49" t="s">
        <v>217</v>
      </c>
      <c r="H38" s="48" t="s">
        <v>218</v>
      </c>
      <c r="I38" s="49" t="s">
        <v>219</v>
      </c>
      <c r="J38" s="49" t="s">
        <v>216</v>
      </c>
      <c r="K38" s="48" t="s">
        <v>0</v>
      </c>
      <c r="L38" s="49" t="s">
        <v>333</v>
      </c>
      <c r="M38" s="49" t="s">
        <v>224</v>
      </c>
      <c r="N38" s="49" t="s">
        <v>216</v>
      </c>
      <c r="O38" s="496"/>
      <c r="P38" s="496"/>
      <c r="Q38" s="496"/>
      <c r="R38" s="496"/>
    </row>
    <row r="39" spans="1:18" ht="15.75" x14ac:dyDescent="0.25">
      <c r="A39" s="50">
        <v>42284</v>
      </c>
      <c r="B39" s="44" t="s">
        <v>86</v>
      </c>
      <c r="C39" s="328">
        <v>0.5</v>
      </c>
      <c r="D39" s="51">
        <f>+'kardex reactivos 1'!G157</f>
        <v>4.1119999999999997E-2</v>
      </c>
      <c r="E39" s="51">
        <f>+D39*C39</f>
        <v>2.0559999999999998E-2</v>
      </c>
      <c r="F39" s="37"/>
      <c r="G39" s="37">
        <v>3</v>
      </c>
      <c r="H39" s="37">
        <f>+'Minutos MOD por exmen '!C42</f>
        <v>0.28333333333333333</v>
      </c>
      <c r="I39" s="100">
        <f>+'tasa MOD '!M7</f>
        <v>7.460887357795225</v>
      </c>
      <c r="J39" s="37">
        <f>+I39*H39</f>
        <v>2.1139180847086472</v>
      </c>
      <c r="K39" s="37"/>
      <c r="L39" s="37">
        <f>+J46</f>
        <v>2.1139180847086472</v>
      </c>
      <c r="M39" s="109">
        <f>+'tasa cif'!G9</f>
        <v>0.76985269116945931</v>
      </c>
      <c r="N39" s="37">
        <f>+M39*L39</f>
        <v>1.6274055264247411</v>
      </c>
      <c r="O39" s="505" t="s">
        <v>225</v>
      </c>
      <c r="P39" s="505"/>
      <c r="Q39" s="35">
        <f>+E46</f>
        <v>0.45873333333333338</v>
      </c>
      <c r="R39" s="38"/>
    </row>
    <row r="40" spans="1:18" ht="15.75" x14ac:dyDescent="0.25">
      <c r="A40" s="50">
        <v>42284</v>
      </c>
      <c r="B40" s="44" t="s">
        <v>159</v>
      </c>
      <c r="C40" s="328">
        <v>1.5</v>
      </c>
      <c r="D40" s="51">
        <f>+'kardex reactivos 3'!G23</f>
        <v>4.4999999999999998E-2</v>
      </c>
      <c r="E40" s="51">
        <f t="shared" ref="E40:E45" si="2">+D40*C40</f>
        <v>6.7500000000000004E-2</v>
      </c>
      <c r="F40" s="37"/>
      <c r="G40" s="37"/>
      <c r="H40" s="37"/>
      <c r="I40" s="37"/>
      <c r="J40" s="37"/>
      <c r="K40" s="37"/>
      <c r="L40" s="37"/>
      <c r="M40" s="37"/>
      <c r="N40" s="37"/>
      <c r="O40" s="505" t="s">
        <v>226</v>
      </c>
      <c r="P40" s="505"/>
      <c r="Q40">
        <f>+J46</f>
        <v>2.1139180847086472</v>
      </c>
      <c r="R40" s="38"/>
    </row>
    <row r="41" spans="1:18" ht="15.75" x14ac:dyDescent="0.25">
      <c r="A41" s="50">
        <v>42284</v>
      </c>
      <c r="B41" s="44" t="s">
        <v>229</v>
      </c>
      <c r="C41" s="328">
        <v>1</v>
      </c>
      <c r="D41" s="51">
        <f>+'kardex reactivos 1'!G192</f>
        <v>6.8000000000000005E-2</v>
      </c>
      <c r="E41" s="51">
        <f t="shared" si="2"/>
        <v>6.8000000000000005E-2</v>
      </c>
      <c r="F41" s="37"/>
      <c r="G41" s="37"/>
      <c r="H41" s="37"/>
      <c r="I41" s="37"/>
      <c r="J41" s="37"/>
      <c r="K41" s="37"/>
      <c r="L41" s="37"/>
      <c r="M41" s="37"/>
      <c r="N41" s="37"/>
      <c r="O41" s="43" t="s">
        <v>227</v>
      </c>
      <c r="P41" s="103"/>
      <c r="Q41">
        <f>+N46</f>
        <v>1.6274055264247411</v>
      </c>
      <c r="R41" s="38"/>
    </row>
    <row r="42" spans="1:18" ht="16.5" thickBot="1" x14ac:dyDescent="0.3">
      <c r="A42" s="50">
        <v>42284</v>
      </c>
      <c r="B42" s="44" t="s">
        <v>230</v>
      </c>
      <c r="C42" s="328">
        <v>1</v>
      </c>
      <c r="D42" s="51">
        <f>+'kardex reactivos 1'!G215</f>
        <v>6.8000000000000005E-2</v>
      </c>
      <c r="E42" s="51">
        <f t="shared" si="2"/>
        <v>6.8000000000000005E-2</v>
      </c>
      <c r="F42" s="37"/>
      <c r="G42" s="37"/>
      <c r="H42" s="37"/>
      <c r="I42" s="37"/>
      <c r="J42" s="37"/>
      <c r="K42" s="37"/>
      <c r="L42" s="37"/>
      <c r="M42" s="37"/>
      <c r="N42" s="37"/>
      <c r="O42" s="103"/>
      <c r="P42" s="103"/>
      <c r="Q42" s="356">
        <f>SUM(Q39:Q41)</f>
        <v>4.2000569444667217</v>
      </c>
      <c r="R42" s="38"/>
    </row>
    <row r="43" spans="1:18" ht="16.5" thickTop="1" x14ac:dyDescent="0.25">
      <c r="A43" s="50">
        <v>42284</v>
      </c>
      <c r="B43" s="44" t="s">
        <v>165</v>
      </c>
      <c r="C43" s="328">
        <v>3</v>
      </c>
      <c r="D43" s="51">
        <f>+'kardex reactivos 3'!G89</f>
        <v>3.56E-2</v>
      </c>
      <c r="E43" s="51">
        <f t="shared" si="2"/>
        <v>0.10680000000000001</v>
      </c>
      <c r="F43" s="37"/>
      <c r="G43" s="37"/>
      <c r="H43" s="37"/>
      <c r="I43" s="37"/>
      <c r="J43" s="37"/>
      <c r="K43" s="37"/>
      <c r="L43" s="37"/>
      <c r="M43" s="37"/>
      <c r="N43" s="37"/>
      <c r="O43" s="103"/>
      <c r="P43" s="103"/>
      <c r="R43" s="38"/>
    </row>
    <row r="44" spans="1:18" ht="31.5" x14ac:dyDescent="0.25">
      <c r="A44" s="50">
        <v>42284</v>
      </c>
      <c r="B44" s="46" t="s">
        <v>167</v>
      </c>
      <c r="C44" s="329">
        <v>3</v>
      </c>
      <c r="D44" s="51">
        <f>+'kardex reactivos 3'!G104</f>
        <v>3.56E-2</v>
      </c>
      <c r="E44" s="51">
        <f t="shared" si="2"/>
        <v>0.10680000000000001</v>
      </c>
      <c r="F44" s="37"/>
      <c r="G44" s="37"/>
      <c r="H44" s="37"/>
      <c r="I44" s="37"/>
      <c r="J44" s="37"/>
      <c r="K44" s="37"/>
      <c r="L44" s="37"/>
      <c r="M44" s="37"/>
      <c r="N44" s="37"/>
      <c r="O44" s="103"/>
      <c r="P44" s="103"/>
      <c r="R44" s="38"/>
    </row>
    <row r="45" spans="1:18" ht="15.75" x14ac:dyDescent="0.25">
      <c r="A45" s="50">
        <v>42284</v>
      </c>
      <c r="B45" s="44" t="s">
        <v>93</v>
      </c>
      <c r="C45" s="328">
        <v>0.5</v>
      </c>
      <c r="D45" s="51">
        <f>+'kardex reactivos 1'!G265</f>
        <v>4.2146666666666666E-2</v>
      </c>
      <c r="E45" s="51">
        <f t="shared" si="2"/>
        <v>2.1073333333333333E-2</v>
      </c>
      <c r="F45" s="37"/>
      <c r="G45" s="37"/>
      <c r="H45" s="37"/>
      <c r="I45" s="37"/>
      <c r="J45" s="37"/>
      <c r="K45" s="37"/>
      <c r="L45" s="37"/>
      <c r="M45" s="37"/>
      <c r="N45" s="37"/>
      <c r="O45" s="103"/>
      <c r="P45" s="103"/>
      <c r="R45" s="38"/>
    </row>
    <row r="46" spans="1:18" ht="15.75" x14ac:dyDescent="0.25">
      <c r="A46" s="489" t="s">
        <v>220</v>
      </c>
      <c r="B46" s="489"/>
      <c r="C46" s="489"/>
      <c r="D46" s="489"/>
      <c r="E46" s="52">
        <f>SUM(E39:E45)</f>
        <v>0.45873333333333338</v>
      </c>
      <c r="F46" s="37"/>
      <c r="G46" s="37"/>
      <c r="H46" s="489" t="s">
        <v>220</v>
      </c>
      <c r="I46" s="489"/>
      <c r="J46" s="53">
        <f>+J39</f>
        <v>2.1139180847086472</v>
      </c>
      <c r="K46" s="37"/>
      <c r="L46" s="37"/>
      <c r="M46" s="37"/>
      <c r="N46" s="37">
        <f>+N39</f>
        <v>1.6274055264247411</v>
      </c>
      <c r="O46" s="490"/>
      <c r="P46" s="491"/>
      <c r="Q46" s="399"/>
      <c r="R46" s="357"/>
    </row>
    <row r="49" spans="1:18" ht="15.75" x14ac:dyDescent="0.25">
      <c r="A49" s="506" t="s">
        <v>208</v>
      </c>
      <c r="B49" s="507"/>
      <c r="C49" s="507"/>
      <c r="D49" s="507"/>
      <c r="E49" s="507"/>
      <c r="F49" s="507"/>
      <c r="G49" s="507"/>
      <c r="H49" s="507"/>
      <c r="I49" s="507"/>
      <c r="J49" s="507"/>
      <c r="K49" s="507"/>
      <c r="L49" s="507"/>
      <c r="M49" s="507"/>
      <c r="N49" s="507"/>
      <c r="O49" s="507"/>
      <c r="P49" s="507"/>
      <c r="Q49" s="507"/>
      <c r="R49" s="508"/>
    </row>
    <row r="50" spans="1:18" ht="15.75" x14ac:dyDescent="0.25">
      <c r="A50" s="105" t="s">
        <v>209</v>
      </c>
      <c r="B50" s="104"/>
      <c r="C50" s="39"/>
      <c r="D50" s="55"/>
      <c r="E50" s="39"/>
      <c r="F50" s="39"/>
      <c r="G50" s="39"/>
      <c r="H50" s="494"/>
      <c r="I50" s="494"/>
      <c r="J50" s="494"/>
      <c r="K50" s="39"/>
      <c r="L50" s="39"/>
      <c r="M50" s="39"/>
      <c r="N50" s="39"/>
      <c r="O50" s="39"/>
      <c r="P50" s="39"/>
      <c r="Q50" s="39"/>
      <c r="R50" s="42"/>
    </row>
    <row r="51" spans="1:18" ht="15.75" x14ac:dyDescent="0.25">
      <c r="A51" s="105" t="s">
        <v>228</v>
      </c>
      <c r="B51" s="493" t="s">
        <v>237</v>
      </c>
      <c r="C51" s="493"/>
      <c r="D51" s="55"/>
      <c r="E51" s="39"/>
      <c r="F51" s="39"/>
      <c r="G51" s="39"/>
      <c r="H51" s="494"/>
      <c r="I51" s="494"/>
      <c r="J51" s="494"/>
      <c r="K51" s="39"/>
      <c r="L51" s="39"/>
      <c r="M51" s="39"/>
      <c r="N51" s="39"/>
      <c r="O51" s="39"/>
      <c r="P51" s="39"/>
      <c r="Q51" s="39"/>
      <c r="R51" s="42"/>
    </row>
    <row r="52" spans="1:18" ht="15.75" x14ac:dyDescent="0.25">
      <c r="A52" s="492" t="s">
        <v>210</v>
      </c>
      <c r="B52" s="493"/>
      <c r="C52" s="104">
        <v>4</v>
      </c>
      <c r="D52" s="56"/>
      <c r="E52" s="39"/>
      <c r="F52" s="39"/>
      <c r="G52" s="39"/>
      <c r="H52" s="494"/>
      <c r="I52" s="494"/>
      <c r="J52" s="494"/>
      <c r="K52" s="39"/>
      <c r="L52" s="39"/>
      <c r="M52" s="39"/>
      <c r="N52" s="39"/>
      <c r="O52" s="39"/>
      <c r="P52" s="39"/>
      <c r="Q52" s="39"/>
      <c r="R52" s="42"/>
    </row>
    <row r="53" spans="1:18" ht="15.75" x14ac:dyDescent="0.25">
      <c r="A53" s="495" t="s">
        <v>211</v>
      </c>
      <c r="B53" s="494"/>
      <c r="C53" s="494"/>
      <c r="D53" s="55"/>
      <c r="E53" s="39"/>
      <c r="F53" s="39"/>
      <c r="G53" s="39"/>
      <c r="H53" s="494"/>
      <c r="I53" s="494"/>
      <c r="J53" s="494"/>
      <c r="K53" s="39"/>
      <c r="L53" s="39"/>
      <c r="M53" s="39"/>
      <c r="N53" s="39"/>
      <c r="O53" s="39"/>
      <c r="P53" s="39"/>
      <c r="Q53" s="39"/>
      <c r="R53" s="42"/>
    </row>
    <row r="54" spans="1:18" ht="15.75" x14ac:dyDescent="0.25">
      <c r="A54" s="496" t="s">
        <v>212</v>
      </c>
      <c r="B54" s="496"/>
      <c r="C54" s="496"/>
      <c r="D54" s="496"/>
      <c r="E54" s="496"/>
      <c r="F54" s="496" t="s">
        <v>213</v>
      </c>
      <c r="G54" s="496"/>
      <c r="H54" s="496"/>
      <c r="I54" s="496"/>
      <c r="J54" s="496"/>
      <c r="K54" s="497" t="s">
        <v>221</v>
      </c>
      <c r="L54" s="497"/>
      <c r="M54" s="497"/>
      <c r="N54" s="497"/>
      <c r="O54" s="496" t="s">
        <v>222</v>
      </c>
      <c r="P54" s="496"/>
      <c r="Q54" s="496"/>
      <c r="R54" s="496"/>
    </row>
    <row r="55" spans="1:18" ht="31.5" x14ac:dyDescent="0.25">
      <c r="A55" s="48" t="s">
        <v>0</v>
      </c>
      <c r="B55" s="48" t="s">
        <v>1</v>
      </c>
      <c r="C55" s="48" t="s">
        <v>214</v>
      </c>
      <c r="D55" s="57" t="s">
        <v>215</v>
      </c>
      <c r="E55" s="49" t="s">
        <v>216</v>
      </c>
      <c r="F55" s="48" t="s">
        <v>0</v>
      </c>
      <c r="G55" s="49" t="s">
        <v>217</v>
      </c>
      <c r="H55" s="48" t="s">
        <v>218</v>
      </c>
      <c r="I55" s="49" t="s">
        <v>219</v>
      </c>
      <c r="J55" s="49" t="s">
        <v>216</v>
      </c>
      <c r="K55" s="48" t="s">
        <v>0</v>
      </c>
      <c r="L55" s="49" t="s">
        <v>333</v>
      </c>
      <c r="M55" s="49" t="s">
        <v>224</v>
      </c>
      <c r="N55" s="49" t="s">
        <v>216</v>
      </c>
      <c r="O55" s="496"/>
      <c r="P55" s="496"/>
      <c r="Q55" s="496"/>
      <c r="R55" s="496"/>
    </row>
    <row r="56" spans="1:18" ht="15.75" x14ac:dyDescent="0.25">
      <c r="A56" s="50">
        <v>42289</v>
      </c>
      <c r="B56" s="44" t="s">
        <v>136</v>
      </c>
      <c r="C56" s="396">
        <v>1</v>
      </c>
      <c r="D56" s="51">
        <f>+'kardex reactivos 2'!G263</f>
        <v>4.4999999999999998E-2</v>
      </c>
      <c r="E56" s="51">
        <f>+C56*D56</f>
        <v>4.4999999999999998E-2</v>
      </c>
      <c r="F56" s="37"/>
      <c r="G56" s="37">
        <v>4</v>
      </c>
      <c r="H56" s="37">
        <f>+'Minutos MOD por exmen '!C39</f>
        <v>0.25</v>
      </c>
      <c r="I56" s="100">
        <f>+'tasa MOD '!M7</f>
        <v>7.460887357795225</v>
      </c>
      <c r="J56" s="37">
        <f>+I56*H56</f>
        <v>1.8652218394488063</v>
      </c>
      <c r="K56" s="37"/>
      <c r="L56" s="37">
        <f>+J64</f>
        <v>1.8652218394488063</v>
      </c>
      <c r="M56" s="109">
        <f>+'tasa cif'!G9</f>
        <v>0.76985269116945931</v>
      </c>
      <c r="N56" s="375">
        <f>+M56*L56</f>
        <v>1.4359460527277126</v>
      </c>
      <c r="O56" s="502" t="s">
        <v>225</v>
      </c>
      <c r="P56" s="503"/>
      <c r="Q56" s="277">
        <f>+E64</f>
        <v>0.37374333333333332</v>
      </c>
      <c r="R56" s="278"/>
    </row>
    <row r="57" spans="1:18" ht="15.75" x14ac:dyDescent="0.25">
      <c r="A57" s="50">
        <v>42289</v>
      </c>
      <c r="B57" s="45" t="s">
        <v>138</v>
      </c>
      <c r="C57" s="396">
        <v>1</v>
      </c>
      <c r="D57" s="51">
        <f>+'kardex reactivos 2'!G277</f>
        <v>6.2E-2</v>
      </c>
      <c r="E57" s="51">
        <f>+C57*D57</f>
        <v>6.2E-2</v>
      </c>
      <c r="F57" s="37"/>
      <c r="G57" s="37"/>
      <c r="H57" s="37"/>
      <c r="I57" s="37"/>
      <c r="J57" s="37"/>
      <c r="K57" s="37"/>
      <c r="L57" s="37"/>
      <c r="M57" s="37"/>
      <c r="N57" s="375"/>
      <c r="O57" s="504" t="s">
        <v>226</v>
      </c>
      <c r="P57" s="505"/>
      <c r="Q57" s="39">
        <f>+J64</f>
        <v>1.8652218394488063</v>
      </c>
      <c r="R57" s="233"/>
    </row>
    <row r="58" spans="1:18" ht="15.75" x14ac:dyDescent="0.25">
      <c r="A58" s="50">
        <v>42289</v>
      </c>
      <c r="B58" s="46" t="s">
        <v>139</v>
      </c>
      <c r="C58" s="396">
        <v>1</v>
      </c>
      <c r="D58" s="51">
        <f>+'kardex reactivos 2'!G296</f>
        <v>4.931E-2</v>
      </c>
      <c r="E58" s="51">
        <f>+C58*D58</f>
        <v>4.931E-2</v>
      </c>
      <c r="F58" s="37"/>
      <c r="G58" s="37"/>
      <c r="H58" s="37"/>
      <c r="I58" s="37"/>
      <c r="J58" s="37"/>
      <c r="K58" s="37"/>
      <c r="L58" s="37"/>
      <c r="M58" s="37"/>
      <c r="N58" s="375"/>
      <c r="O58" s="279" t="s">
        <v>227</v>
      </c>
      <c r="P58" s="397"/>
      <c r="Q58" s="39">
        <f>+N64</f>
        <v>1.4359460527277126</v>
      </c>
      <c r="R58" s="233"/>
    </row>
    <row r="59" spans="1:18" ht="16.5" thickBot="1" x14ac:dyDescent="0.3">
      <c r="A59" s="50">
        <v>42289</v>
      </c>
      <c r="B59" s="44" t="s">
        <v>140</v>
      </c>
      <c r="C59" s="396">
        <v>1</v>
      </c>
      <c r="D59" s="51">
        <f>+'kardex reactivos 2'!G309</f>
        <v>6.5000000000000002E-2</v>
      </c>
      <c r="E59" s="51">
        <f>+C59*D59</f>
        <v>6.5000000000000002E-2</v>
      </c>
      <c r="F59" s="37"/>
      <c r="G59" s="37"/>
      <c r="H59" s="37"/>
      <c r="I59" s="37"/>
      <c r="J59" s="37"/>
      <c r="K59" s="37"/>
      <c r="L59" s="37"/>
      <c r="M59" s="37"/>
      <c r="N59" s="375"/>
      <c r="O59" s="487" t="s">
        <v>220</v>
      </c>
      <c r="P59" s="488"/>
      <c r="Q59" s="276">
        <f>SUM(Q56:Q58)</f>
        <v>3.6749112255098524</v>
      </c>
      <c r="R59" s="233"/>
    </row>
    <row r="60" spans="1:18" ht="16.5" thickTop="1" x14ac:dyDescent="0.25">
      <c r="A60" s="50">
        <v>42289</v>
      </c>
      <c r="B60" s="44" t="s">
        <v>141</v>
      </c>
      <c r="C60" s="396">
        <v>1</v>
      </c>
      <c r="D60" s="51">
        <f>+'kardex reactivos 2'!G323</f>
        <v>3.9E-2</v>
      </c>
      <c r="E60" s="51">
        <f t="shared" ref="E60:E63" si="3">+C60*D60</f>
        <v>3.9E-2</v>
      </c>
      <c r="F60" s="37"/>
      <c r="G60" s="37"/>
      <c r="H60" s="37"/>
      <c r="I60" s="37"/>
      <c r="J60" s="37"/>
      <c r="K60" s="37"/>
      <c r="L60" s="37"/>
      <c r="M60" s="37"/>
      <c r="N60" s="375"/>
      <c r="O60" s="398"/>
      <c r="P60" s="397"/>
      <c r="Q60" s="39"/>
      <c r="R60" s="233"/>
    </row>
    <row r="61" spans="1:18" ht="15.75" x14ac:dyDescent="0.25">
      <c r="A61" s="50">
        <v>42289</v>
      </c>
      <c r="B61" s="46" t="s">
        <v>142</v>
      </c>
      <c r="C61" s="396">
        <v>1</v>
      </c>
      <c r="D61" s="51">
        <f>+'kardex reactivos 2'!G338</f>
        <v>5.5E-2</v>
      </c>
      <c r="E61" s="51">
        <f t="shared" si="3"/>
        <v>5.5E-2</v>
      </c>
      <c r="F61" s="37"/>
      <c r="G61" s="37"/>
      <c r="H61" s="37"/>
      <c r="I61" s="37"/>
      <c r="J61" s="37"/>
      <c r="K61" s="37"/>
      <c r="L61" s="37"/>
      <c r="M61" s="37"/>
      <c r="N61" s="375"/>
      <c r="O61" s="398"/>
      <c r="P61" s="397"/>
      <c r="Q61" s="39"/>
      <c r="R61" s="233"/>
    </row>
    <row r="62" spans="1:18" ht="15.75" x14ac:dyDescent="0.25">
      <c r="A62" s="50">
        <v>42289</v>
      </c>
      <c r="B62" s="46" t="s">
        <v>143</v>
      </c>
      <c r="C62" s="396">
        <v>1</v>
      </c>
      <c r="D62" s="51">
        <f>+'kardex reactivos 2'!G353</f>
        <v>3.7359999999999997E-2</v>
      </c>
      <c r="E62" s="51">
        <f t="shared" si="3"/>
        <v>3.7359999999999997E-2</v>
      </c>
      <c r="F62" s="37"/>
      <c r="G62" s="37"/>
      <c r="H62" s="37"/>
      <c r="I62" s="37"/>
      <c r="J62" s="37"/>
      <c r="K62" s="37"/>
      <c r="L62" s="37"/>
      <c r="M62" s="37"/>
      <c r="N62" s="375"/>
      <c r="O62" s="398"/>
      <c r="P62" s="397"/>
      <c r="Q62" s="39"/>
      <c r="R62" s="233"/>
    </row>
    <row r="63" spans="1:18" ht="15.75" x14ac:dyDescent="0.25">
      <c r="A63" s="50">
        <v>42289</v>
      </c>
      <c r="B63" s="46" t="s">
        <v>238</v>
      </c>
      <c r="C63" s="396">
        <v>0.5</v>
      </c>
      <c r="D63" s="51">
        <f>+'kardex reactivos 1'!G266</f>
        <v>4.2146666666666666E-2</v>
      </c>
      <c r="E63" s="51">
        <f t="shared" si="3"/>
        <v>2.1073333333333333E-2</v>
      </c>
      <c r="F63" s="37"/>
      <c r="G63" s="37"/>
      <c r="H63" s="37"/>
      <c r="I63" s="37"/>
      <c r="J63" s="37"/>
      <c r="K63" s="37"/>
      <c r="L63" s="37"/>
      <c r="M63" s="37"/>
      <c r="N63" s="375"/>
      <c r="O63" s="398"/>
      <c r="P63" s="397"/>
      <c r="Q63" s="39"/>
      <c r="R63" s="233"/>
    </row>
    <row r="64" spans="1:18" ht="15.75" x14ac:dyDescent="0.25">
      <c r="A64" s="489" t="s">
        <v>220</v>
      </c>
      <c r="B64" s="489"/>
      <c r="C64" s="489"/>
      <c r="D64" s="489"/>
      <c r="E64" s="52">
        <f>SUM(E56:E63)</f>
        <v>0.37374333333333332</v>
      </c>
      <c r="F64" s="37"/>
      <c r="G64" s="37"/>
      <c r="H64" s="489" t="s">
        <v>220</v>
      </c>
      <c r="I64" s="489"/>
      <c r="J64" s="53">
        <f>+J56</f>
        <v>1.8652218394488063</v>
      </c>
      <c r="K64" s="37"/>
      <c r="L64" s="37"/>
      <c r="M64" s="37"/>
      <c r="N64" s="375">
        <f>+N56</f>
        <v>1.4359460527277126</v>
      </c>
      <c r="O64" s="490"/>
      <c r="P64" s="491"/>
      <c r="Q64" s="399"/>
      <c r="R64" s="280"/>
    </row>
    <row r="67" spans="1:18" ht="15.75" x14ac:dyDescent="0.25">
      <c r="A67" s="506" t="s">
        <v>208</v>
      </c>
      <c r="B67" s="507"/>
      <c r="C67" s="507"/>
      <c r="D67" s="507"/>
      <c r="E67" s="507"/>
      <c r="F67" s="507"/>
      <c r="G67" s="507"/>
      <c r="H67" s="507"/>
      <c r="I67" s="507"/>
      <c r="J67" s="507"/>
      <c r="K67" s="507"/>
      <c r="L67" s="507"/>
      <c r="M67" s="507"/>
      <c r="N67" s="507"/>
      <c r="O67" s="507"/>
      <c r="P67" s="507"/>
      <c r="Q67" s="507"/>
      <c r="R67" s="508"/>
    </row>
    <row r="68" spans="1:18" ht="15.75" x14ac:dyDescent="0.25">
      <c r="A68" s="105" t="s">
        <v>209</v>
      </c>
      <c r="B68" s="104"/>
      <c r="C68" s="39"/>
      <c r="D68" s="55"/>
      <c r="E68" s="39"/>
      <c r="F68" s="39"/>
      <c r="G68" s="39"/>
      <c r="H68" s="494"/>
      <c r="I68" s="494"/>
      <c r="J68" s="494"/>
      <c r="K68" s="39"/>
      <c r="L68" s="39"/>
      <c r="M68" s="39"/>
      <c r="N68" s="39"/>
      <c r="O68" s="39"/>
      <c r="P68" s="39"/>
      <c r="Q68" s="39"/>
      <c r="R68" s="42"/>
    </row>
    <row r="69" spans="1:18" ht="15.75" x14ac:dyDescent="0.25">
      <c r="A69" s="105" t="s">
        <v>228</v>
      </c>
      <c r="B69" s="493" t="s">
        <v>239</v>
      </c>
      <c r="C69" s="493"/>
      <c r="D69" s="55"/>
      <c r="E69" s="39"/>
      <c r="F69" s="39"/>
      <c r="G69" s="39"/>
      <c r="H69" s="494"/>
      <c r="I69" s="494"/>
      <c r="J69" s="494"/>
      <c r="K69" s="39"/>
      <c r="L69" s="39"/>
      <c r="M69" s="39"/>
      <c r="N69" s="39"/>
      <c r="O69" s="39"/>
      <c r="P69" s="39"/>
      <c r="Q69" s="39"/>
      <c r="R69" s="42"/>
    </row>
    <row r="70" spans="1:18" ht="15.75" x14ac:dyDescent="0.25">
      <c r="A70" s="492" t="s">
        <v>210</v>
      </c>
      <c r="B70" s="493"/>
      <c r="C70" s="104">
        <v>5</v>
      </c>
      <c r="D70" s="56"/>
      <c r="E70" s="39"/>
      <c r="F70" s="39"/>
      <c r="G70" s="39"/>
      <c r="H70" s="494"/>
      <c r="I70" s="494"/>
      <c r="J70" s="494"/>
      <c r="K70" s="39"/>
      <c r="L70" s="39"/>
      <c r="M70" s="39"/>
      <c r="N70" s="39"/>
      <c r="O70" s="39"/>
      <c r="P70" s="39"/>
      <c r="Q70" s="39"/>
      <c r="R70" s="42"/>
    </row>
    <row r="71" spans="1:18" ht="15.75" x14ac:dyDescent="0.25">
      <c r="A71" s="495" t="s">
        <v>211</v>
      </c>
      <c r="B71" s="494"/>
      <c r="C71" s="494"/>
      <c r="D71" s="55"/>
      <c r="E71" s="39"/>
      <c r="F71" s="39"/>
      <c r="G71" s="39"/>
      <c r="H71" s="494"/>
      <c r="I71" s="494"/>
      <c r="J71" s="494"/>
      <c r="K71" s="39"/>
      <c r="L71" s="39"/>
      <c r="M71" s="39"/>
      <c r="N71" s="39"/>
      <c r="O71" s="39"/>
      <c r="P71" s="39"/>
      <c r="Q71" s="39"/>
      <c r="R71" s="42"/>
    </row>
    <row r="72" spans="1:18" ht="15.75" x14ac:dyDescent="0.25">
      <c r="A72" s="496" t="s">
        <v>212</v>
      </c>
      <c r="B72" s="496"/>
      <c r="C72" s="496"/>
      <c r="D72" s="496"/>
      <c r="E72" s="496"/>
      <c r="F72" s="496" t="s">
        <v>213</v>
      </c>
      <c r="G72" s="496"/>
      <c r="H72" s="496"/>
      <c r="I72" s="496"/>
      <c r="J72" s="496"/>
      <c r="K72" s="497" t="s">
        <v>221</v>
      </c>
      <c r="L72" s="497"/>
      <c r="M72" s="497"/>
      <c r="N72" s="497"/>
      <c r="O72" s="498" t="s">
        <v>222</v>
      </c>
      <c r="P72" s="499"/>
      <c r="Q72" s="499"/>
      <c r="R72" s="500"/>
    </row>
    <row r="73" spans="1:18" ht="31.5" x14ac:dyDescent="0.25">
      <c r="A73" s="48" t="s">
        <v>0</v>
      </c>
      <c r="B73" s="48" t="s">
        <v>1</v>
      </c>
      <c r="C73" s="48" t="s">
        <v>214</v>
      </c>
      <c r="D73" s="57" t="s">
        <v>215</v>
      </c>
      <c r="E73" s="49" t="s">
        <v>216</v>
      </c>
      <c r="F73" s="48" t="s">
        <v>0</v>
      </c>
      <c r="G73" s="49" t="s">
        <v>217</v>
      </c>
      <c r="H73" s="48" t="s">
        <v>218</v>
      </c>
      <c r="I73" s="49" t="s">
        <v>219</v>
      </c>
      <c r="J73" s="49" t="s">
        <v>216</v>
      </c>
      <c r="K73" s="48" t="s">
        <v>0</v>
      </c>
      <c r="L73" s="49" t="s">
        <v>333</v>
      </c>
      <c r="M73" s="49" t="s">
        <v>224</v>
      </c>
      <c r="N73" s="49" t="s">
        <v>216</v>
      </c>
      <c r="O73" s="518"/>
      <c r="P73" s="509"/>
      <c r="Q73" s="509"/>
      <c r="R73" s="519"/>
    </row>
    <row r="74" spans="1:18" ht="15.75" x14ac:dyDescent="0.25">
      <c r="A74" s="50">
        <v>42290</v>
      </c>
      <c r="B74" s="44" t="s">
        <v>86</v>
      </c>
      <c r="C74" s="396">
        <v>0.5</v>
      </c>
      <c r="D74" s="51">
        <f>+'kardex reactivos 1'!G158</f>
        <v>4.1119999999999997E-2</v>
      </c>
      <c r="E74" s="51">
        <f>+C74*D74</f>
        <v>2.0559999999999998E-2</v>
      </c>
      <c r="F74" s="37"/>
      <c r="G74" s="37">
        <v>5</v>
      </c>
      <c r="H74" s="37">
        <f>+'Minutos MOD por exmen '!C41</f>
        <v>0.58333333333333337</v>
      </c>
      <c r="I74" s="100">
        <f>+'tasa MOD '!M7</f>
        <v>7.460887357795225</v>
      </c>
      <c r="J74" s="37">
        <f>+I74*H74</f>
        <v>4.3521842920472151</v>
      </c>
      <c r="K74" s="37"/>
      <c r="L74" s="37">
        <f>+J81</f>
        <v>4.3521842920472151</v>
      </c>
      <c r="M74" s="109">
        <f>+'tasa cif'!G9</f>
        <v>0.76985269116945931</v>
      </c>
      <c r="N74" s="375">
        <f>+M74*L74</f>
        <v>3.3505407896979968</v>
      </c>
      <c r="O74" s="502" t="s">
        <v>225</v>
      </c>
      <c r="P74" s="503"/>
      <c r="Q74" s="277">
        <f>+E81</f>
        <v>0.47275833333333339</v>
      </c>
      <c r="R74" s="278"/>
    </row>
    <row r="75" spans="1:18" ht="15.75" x14ac:dyDescent="0.25">
      <c r="A75" s="50">
        <v>42290</v>
      </c>
      <c r="B75" s="45" t="s">
        <v>229</v>
      </c>
      <c r="C75" s="396">
        <v>1</v>
      </c>
      <c r="D75" s="51">
        <f>+'kardex reactivos 1'!G193</f>
        <v>6.8000000000000005E-2</v>
      </c>
      <c r="E75" s="51">
        <f>+C75*D75</f>
        <v>6.8000000000000005E-2</v>
      </c>
      <c r="F75" s="37"/>
      <c r="G75" s="37"/>
      <c r="H75" s="37"/>
      <c r="I75" s="37"/>
      <c r="J75" s="37"/>
      <c r="K75" s="37"/>
      <c r="L75" s="37"/>
      <c r="M75" s="37"/>
      <c r="N75" s="375"/>
      <c r="O75" s="504" t="s">
        <v>226</v>
      </c>
      <c r="P75" s="505"/>
      <c r="Q75" s="39">
        <f>+J81</f>
        <v>4.3521842920472151</v>
      </c>
      <c r="R75" s="233"/>
    </row>
    <row r="76" spans="1:18" ht="15.75" x14ac:dyDescent="0.25">
      <c r="A76" s="50">
        <v>42290</v>
      </c>
      <c r="B76" s="46" t="s">
        <v>230</v>
      </c>
      <c r="C76" s="396">
        <v>1</v>
      </c>
      <c r="D76" s="51">
        <f>+'kardex reactivos 1'!G216</f>
        <v>6.8000000000000005E-2</v>
      </c>
      <c r="E76" s="51">
        <f>+C76*D76</f>
        <v>6.8000000000000005E-2</v>
      </c>
      <c r="F76" s="37"/>
      <c r="G76" s="37"/>
      <c r="H76" s="37"/>
      <c r="I76" s="37"/>
      <c r="J76" s="37"/>
      <c r="K76" s="37"/>
      <c r="L76" s="37"/>
      <c r="M76" s="37"/>
      <c r="N76" s="375"/>
      <c r="O76" s="279" t="s">
        <v>227</v>
      </c>
      <c r="P76" s="397"/>
      <c r="Q76" s="39">
        <f>+N81</f>
        <v>3.3505407896979968</v>
      </c>
      <c r="R76" s="233"/>
    </row>
    <row r="77" spans="1:18" ht="16.5" thickBot="1" x14ac:dyDescent="0.3">
      <c r="A77" s="50">
        <v>42290</v>
      </c>
      <c r="B77" s="44" t="s">
        <v>147</v>
      </c>
      <c r="C77" s="396">
        <v>1.5</v>
      </c>
      <c r="D77" s="51">
        <f>+'kardex reactivos 2'!G388</f>
        <v>3.3210000000000003E-2</v>
      </c>
      <c r="E77" s="51">
        <f>+C77*D77</f>
        <v>4.9815000000000005E-2</v>
      </c>
      <c r="F77" s="37"/>
      <c r="G77" s="37"/>
      <c r="H77" s="37"/>
      <c r="I77" s="37"/>
      <c r="J77" s="37"/>
      <c r="K77" s="37"/>
      <c r="L77" s="37"/>
      <c r="M77" s="37"/>
      <c r="N77" s="375"/>
      <c r="O77" s="487" t="s">
        <v>220</v>
      </c>
      <c r="P77" s="488"/>
      <c r="Q77" s="356">
        <f>SUM(Q74:Q76)</f>
        <v>8.1754834150785456</v>
      </c>
      <c r="R77" s="233"/>
    </row>
    <row r="78" spans="1:18" ht="16.5" thickTop="1" x14ac:dyDescent="0.25">
      <c r="A78" s="50">
        <v>42290</v>
      </c>
      <c r="B78" s="44" t="s">
        <v>148</v>
      </c>
      <c r="C78" s="396">
        <v>3</v>
      </c>
      <c r="D78" s="51">
        <f>+'kardex reactivos 2'!G402</f>
        <v>3.3270000000000001E-2</v>
      </c>
      <c r="E78" s="51">
        <f t="shared" ref="E78:E80" si="4">+C78*D78</f>
        <v>9.981000000000001E-2</v>
      </c>
      <c r="F78" s="37"/>
      <c r="G78" s="37"/>
      <c r="H78" s="37"/>
      <c r="I78" s="37"/>
      <c r="J78" s="37"/>
      <c r="K78" s="37"/>
      <c r="L78" s="37"/>
      <c r="M78" s="37"/>
      <c r="N78" s="375"/>
      <c r="O78" s="398"/>
      <c r="P78" s="397"/>
      <c r="Q78" s="39"/>
      <c r="R78" s="233"/>
    </row>
    <row r="79" spans="1:18" ht="15.75" x14ac:dyDescent="0.25">
      <c r="A79" s="50">
        <v>42290</v>
      </c>
      <c r="B79" s="46" t="s">
        <v>149</v>
      </c>
      <c r="C79" s="396">
        <v>3</v>
      </c>
      <c r="D79" s="51">
        <f>+'kardex reactivos 2'!G416</f>
        <v>4.8500000000000001E-2</v>
      </c>
      <c r="E79" s="51">
        <f t="shared" si="4"/>
        <v>0.14550000000000002</v>
      </c>
      <c r="F79" s="37"/>
      <c r="G79" s="37"/>
      <c r="H79" s="37"/>
      <c r="I79" s="37"/>
      <c r="J79" s="37"/>
      <c r="K79" s="37"/>
      <c r="L79" s="37"/>
      <c r="M79" s="37"/>
      <c r="N79" s="375"/>
      <c r="O79" s="398"/>
      <c r="P79" s="397"/>
      <c r="Q79" s="39"/>
      <c r="R79" s="233"/>
    </row>
    <row r="80" spans="1:18" ht="15.75" x14ac:dyDescent="0.25">
      <c r="A80" s="50">
        <v>42290</v>
      </c>
      <c r="B80" s="46" t="s">
        <v>93</v>
      </c>
      <c r="C80" s="396">
        <v>0.5</v>
      </c>
      <c r="D80" s="51">
        <f>+'kardex reactivos 1'!G267</f>
        <v>4.2146666666666666E-2</v>
      </c>
      <c r="E80" s="51">
        <f t="shared" si="4"/>
        <v>2.1073333333333333E-2</v>
      </c>
      <c r="F80" s="37"/>
      <c r="G80" s="37"/>
      <c r="H80" s="37"/>
      <c r="I80" s="37"/>
      <c r="J80" s="37"/>
      <c r="K80" s="37"/>
      <c r="L80" s="37"/>
      <c r="M80" s="37"/>
      <c r="N80" s="375"/>
      <c r="O80" s="398"/>
      <c r="P80" s="397"/>
      <c r="Q80" s="39"/>
      <c r="R80" s="233"/>
    </row>
    <row r="81" spans="1:18" ht="15.75" x14ac:dyDescent="0.25">
      <c r="A81" s="489" t="s">
        <v>220</v>
      </c>
      <c r="B81" s="489"/>
      <c r="C81" s="489"/>
      <c r="D81" s="489"/>
      <c r="E81" s="52">
        <f>SUM(E74:E80)</f>
        <v>0.47275833333333339</v>
      </c>
      <c r="F81" s="37"/>
      <c r="G81" s="37"/>
      <c r="H81" s="489" t="s">
        <v>220</v>
      </c>
      <c r="I81" s="489"/>
      <c r="J81" s="53">
        <f>+J74</f>
        <v>4.3521842920472151</v>
      </c>
      <c r="K81" s="37"/>
      <c r="L81" s="37"/>
      <c r="M81" s="37"/>
      <c r="N81" s="375">
        <f>+N74</f>
        <v>3.3505407896979968</v>
      </c>
      <c r="O81" s="490"/>
      <c r="P81" s="491"/>
      <c r="Q81" s="399"/>
      <c r="R81" s="280"/>
    </row>
    <row r="87" spans="1:18" ht="15.75" x14ac:dyDescent="0.25">
      <c r="A87" s="506" t="s">
        <v>208</v>
      </c>
      <c r="B87" s="507"/>
      <c r="C87" s="507"/>
      <c r="D87" s="507"/>
      <c r="E87" s="507"/>
      <c r="F87" s="507"/>
      <c r="G87" s="507"/>
      <c r="H87" s="507"/>
      <c r="I87" s="507"/>
      <c r="J87" s="507"/>
      <c r="K87" s="507"/>
      <c r="L87" s="507"/>
      <c r="M87" s="507"/>
      <c r="N87" s="507"/>
      <c r="O87" s="507"/>
      <c r="P87" s="507"/>
      <c r="Q87" s="507"/>
      <c r="R87" s="508"/>
    </row>
    <row r="88" spans="1:18" ht="15.75" x14ac:dyDescent="0.25">
      <c r="A88" s="41" t="s">
        <v>209</v>
      </c>
      <c r="B88" s="40"/>
      <c r="C88" s="39"/>
      <c r="D88" s="55"/>
      <c r="E88" s="39"/>
      <c r="F88" s="39"/>
      <c r="G88" s="39"/>
      <c r="H88" s="494"/>
      <c r="I88" s="494"/>
      <c r="J88" s="494"/>
      <c r="K88" s="39"/>
      <c r="L88" s="39"/>
      <c r="M88" s="39"/>
      <c r="N88" s="39"/>
      <c r="O88" s="39"/>
      <c r="P88" s="39"/>
      <c r="Q88" s="39"/>
      <c r="R88" s="42"/>
    </row>
    <row r="89" spans="1:18" ht="15.75" x14ac:dyDescent="0.25">
      <c r="A89" s="41" t="s">
        <v>228</v>
      </c>
      <c r="B89" s="493" t="s">
        <v>244</v>
      </c>
      <c r="C89" s="493"/>
      <c r="D89" s="55"/>
      <c r="E89" s="39"/>
      <c r="F89" s="39"/>
      <c r="G89" s="39"/>
      <c r="H89" s="494"/>
      <c r="I89" s="494"/>
      <c r="J89" s="494"/>
      <c r="K89" s="39"/>
      <c r="L89" s="39"/>
      <c r="M89" s="39"/>
      <c r="N89" s="39"/>
      <c r="O89" s="39"/>
      <c r="P89" s="39"/>
      <c r="Q89" s="39"/>
      <c r="R89" s="42"/>
    </row>
    <row r="90" spans="1:18" ht="15.75" x14ac:dyDescent="0.25">
      <c r="A90" s="492" t="s">
        <v>210</v>
      </c>
      <c r="B90" s="493"/>
      <c r="C90" s="40">
        <v>6</v>
      </c>
      <c r="D90" s="56"/>
      <c r="E90" s="39"/>
      <c r="F90" s="39"/>
      <c r="G90" s="39"/>
      <c r="H90" s="494"/>
      <c r="I90" s="494"/>
      <c r="J90" s="494"/>
      <c r="K90" s="39"/>
      <c r="L90" s="39"/>
      <c r="M90" s="39"/>
      <c r="N90" s="39"/>
      <c r="O90" s="39"/>
      <c r="P90" s="39"/>
      <c r="Q90" s="39"/>
      <c r="R90" s="42"/>
    </row>
    <row r="91" spans="1:18" ht="15.75" x14ac:dyDescent="0.25">
      <c r="A91" s="495" t="s">
        <v>211</v>
      </c>
      <c r="B91" s="494"/>
      <c r="C91" s="494"/>
      <c r="D91" s="55"/>
      <c r="E91" s="39"/>
      <c r="F91" s="39"/>
      <c r="G91" s="39"/>
      <c r="H91" s="494"/>
      <c r="I91" s="494"/>
      <c r="J91" s="494"/>
      <c r="K91" s="39"/>
      <c r="L91" s="39"/>
      <c r="M91" s="39"/>
      <c r="N91" s="39"/>
      <c r="O91" s="39"/>
      <c r="P91" s="39"/>
      <c r="Q91" s="39"/>
      <c r="R91" s="42"/>
    </row>
    <row r="92" spans="1:18" ht="15.75" x14ac:dyDescent="0.25">
      <c r="A92" s="496" t="s">
        <v>212</v>
      </c>
      <c r="B92" s="496"/>
      <c r="C92" s="496"/>
      <c r="D92" s="496"/>
      <c r="E92" s="496"/>
      <c r="F92" s="496" t="s">
        <v>213</v>
      </c>
      <c r="G92" s="496"/>
      <c r="H92" s="496"/>
      <c r="I92" s="496"/>
      <c r="J92" s="496"/>
      <c r="K92" s="497" t="s">
        <v>221</v>
      </c>
      <c r="L92" s="497"/>
      <c r="M92" s="497"/>
      <c r="N92" s="497"/>
      <c r="O92" s="498" t="s">
        <v>222</v>
      </c>
      <c r="P92" s="499"/>
      <c r="Q92" s="499"/>
      <c r="R92" s="500"/>
    </row>
    <row r="93" spans="1:18" ht="31.5" x14ac:dyDescent="0.25">
      <c r="A93" s="48" t="s">
        <v>0</v>
      </c>
      <c r="B93" s="48" t="s">
        <v>1</v>
      </c>
      <c r="C93" s="48" t="s">
        <v>214</v>
      </c>
      <c r="D93" s="57" t="s">
        <v>215</v>
      </c>
      <c r="E93" s="49" t="s">
        <v>216</v>
      </c>
      <c r="F93" s="48" t="s">
        <v>0</v>
      </c>
      <c r="G93" s="49" t="s">
        <v>217</v>
      </c>
      <c r="H93" s="48" t="s">
        <v>218</v>
      </c>
      <c r="I93" s="49" t="s">
        <v>219</v>
      </c>
      <c r="J93" s="49" t="s">
        <v>216</v>
      </c>
      <c r="K93" s="48" t="s">
        <v>0</v>
      </c>
      <c r="L93" s="49" t="s">
        <v>321</v>
      </c>
      <c r="M93" s="49" t="s">
        <v>224</v>
      </c>
      <c r="N93" s="49" t="s">
        <v>216</v>
      </c>
      <c r="O93" s="490"/>
      <c r="P93" s="491"/>
      <c r="Q93" s="491"/>
      <c r="R93" s="501"/>
    </row>
    <row r="94" spans="1:18" ht="15.75" x14ac:dyDescent="0.25">
      <c r="A94" s="50" t="s">
        <v>243</v>
      </c>
      <c r="B94" s="14" t="s">
        <v>145</v>
      </c>
      <c r="C94" s="37">
        <v>1</v>
      </c>
      <c r="D94" s="51">
        <f>+'kardex reactivos 2'!G371</f>
        <v>5.1999999999999998E-2</v>
      </c>
      <c r="E94" s="51">
        <f>+C94*D94</f>
        <v>5.1999999999999998E-2</v>
      </c>
      <c r="F94" s="37"/>
      <c r="G94" s="37">
        <v>6</v>
      </c>
      <c r="H94" s="37">
        <f>+'Minutos MOD por exmen '!C38</f>
        <v>0.13333333333333333</v>
      </c>
      <c r="I94" s="100">
        <f>+'tasa MOD '!M7</f>
        <v>7.460887357795225</v>
      </c>
      <c r="J94" s="37">
        <f>+I94*H94</f>
        <v>0.9947849810393633</v>
      </c>
      <c r="K94" s="37"/>
      <c r="L94" s="37">
        <f>+J97</f>
        <v>0.9947849810393633</v>
      </c>
      <c r="M94" s="109">
        <f>+'tasa cif'!G9</f>
        <v>0.76985269116945931</v>
      </c>
      <c r="N94" s="37">
        <f>+M94*L94</f>
        <v>0.76583789478811337</v>
      </c>
      <c r="O94" s="502" t="s">
        <v>225</v>
      </c>
      <c r="P94" s="503"/>
      <c r="Q94" s="277">
        <f>+E97</f>
        <v>5.1999999999999998E-2</v>
      </c>
      <c r="R94" s="278"/>
    </row>
    <row r="95" spans="1:18" ht="15.75" x14ac:dyDescent="0.25">
      <c r="A95" s="50"/>
      <c r="B95" s="45"/>
      <c r="C95" s="47"/>
      <c r="D95" s="51"/>
      <c r="E95" s="51">
        <f>+C95*D95</f>
        <v>0</v>
      </c>
      <c r="F95" s="37"/>
      <c r="G95" s="37"/>
      <c r="H95" s="37"/>
      <c r="I95" s="37"/>
      <c r="J95" s="37"/>
      <c r="K95" s="37"/>
      <c r="L95" s="37"/>
      <c r="M95" s="37"/>
      <c r="N95" s="37"/>
      <c r="O95" s="504" t="s">
        <v>226</v>
      </c>
      <c r="P95" s="505"/>
      <c r="Q95" s="55">
        <f>+J97</f>
        <v>0.9947849810393633</v>
      </c>
      <c r="R95" s="233"/>
    </row>
    <row r="96" spans="1:18" ht="15.75" x14ac:dyDescent="0.25">
      <c r="A96" s="50"/>
      <c r="B96" s="46"/>
      <c r="C96" s="47"/>
      <c r="D96" s="51"/>
      <c r="E96" s="51">
        <f>+C96*D96</f>
        <v>0</v>
      </c>
      <c r="F96" s="37"/>
      <c r="G96" s="37"/>
      <c r="H96" s="37"/>
      <c r="I96" s="37"/>
      <c r="J96" s="37"/>
      <c r="K96" s="37"/>
      <c r="L96" s="37"/>
      <c r="M96" s="37"/>
      <c r="N96" s="37"/>
      <c r="O96" s="279" t="s">
        <v>227</v>
      </c>
      <c r="P96" s="397"/>
      <c r="Q96" s="55">
        <f>+N97</f>
        <v>0.76583789478811337</v>
      </c>
      <c r="R96" s="233"/>
    </row>
    <row r="97" spans="1:18" ht="16.5" thickBot="1" x14ac:dyDescent="0.3">
      <c r="A97" s="489" t="s">
        <v>220</v>
      </c>
      <c r="B97" s="489"/>
      <c r="C97" s="489"/>
      <c r="D97" s="489"/>
      <c r="E97" s="52">
        <f>SUM(E94:E96)</f>
        <v>5.1999999999999998E-2</v>
      </c>
      <c r="F97" s="37"/>
      <c r="G97" s="37"/>
      <c r="H97" s="489" t="s">
        <v>220</v>
      </c>
      <c r="I97" s="489"/>
      <c r="J97" s="53">
        <f>+J94</f>
        <v>0.9947849810393633</v>
      </c>
      <c r="K97" s="37"/>
      <c r="L97" s="37"/>
      <c r="M97" s="37"/>
      <c r="N97" s="37">
        <f>+N94</f>
        <v>0.76583789478811337</v>
      </c>
      <c r="O97" s="490"/>
      <c r="P97" s="491"/>
      <c r="Q97" s="377">
        <f>SUM(Q94:Q96)</f>
        <v>1.8126228758274765</v>
      </c>
      <c r="R97" s="280"/>
    </row>
    <row r="98" spans="1:18" ht="15.75" thickTop="1" x14ac:dyDescent="0.25"/>
    <row r="101" spans="1:18" ht="15.75" x14ac:dyDescent="0.25">
      <c r="A101" s="506" t="s">
        <v>208</v>
      </c>
      <c r="B101" s="507"/>
      <c r="C101" s="507"/>
      <c r="D101" s="507"/>
      <c r="E101" s="507"/>
      <c r="F101" s="507"/>
      <c r="G101" s="507"/>
      <c r="H101" s="507"/>
      <c r="I101" s="507"/>
      <c r="J101" s="507"/>
      <c r="K101" s="507"/>
      <c r="L101" s="507"/>
      <c r="M101" s="507"/>
      <c r="N101" s="507"/>
      <c r="O101" s="507"/>
      <c r="P101" s="507"/>
      <c r="Q101" s="507"/>
      <c r="R101" s="508"/>
    </row>
    <row r="102" spans="1:18" ht="15.75" x14ac:dyDescent="0.25">
      <c r="A102" s="115" t="s">
        <v>209</v>
      </c>
      <c r="B102" s="116"/>
      <c r="C102" s="39"/>
      <c r="D102" s="55"/>
      <c r="E102" s="39"/>
      <c r="F102" s="39"/>
      <c r="G102" s="39"/>
      <c r="H102" s="494"/>
      <c r="I102" s="494"/>
      <c r="J102" s="494"/>
      <c r="K102" s="39"/>
      <c r="L102" s="39"/>
      <c r="M102" s="39"/>
      <c r="N102" s="39"/>
      <c r="O102" s="39"/>
      <c r="P102" s="39"/>
      <c r="Q102" s="39"/>
      <c r="R102" s="42"/>
    </row>
    <row r="103" spans="1:18" ht="15.75" x14ac:dyDescent="0.25">
      <c r="A103" s="115" t="s">
        <v>228</v>
      </c>
      <c r="B103" s="493" t="s">
        <v>237</v>
      </c>
      <c r="C103" s="493"/>
      <c r="D103" s="55"/>
      <c r="E103" s="39"/>
      <c r="F103" s="39"/>
      <c r="G103" s="39"/>
      <c r="H103" s="494"/>
      <c r="I103" s="494"/>
      <c r="J103" s="494"/>
      <c r="K103" s="39"/>
      <c r="L103" s="39"/>
      <c r="M103" s="39"/>
      <c r="N103" s="39"/>
      <c r="O103" s="39"/>
      <c r="P103" s="39"/>
      <c r="Q103" s="39"/>
      <c r="R103" s="42"/>
    </row>
    <row r="104" spans="1:18" ht="15.75" x14ac:dyDescent="0.25">
      <c r="A104" s="492" t="s">
        <v>210</v>
      </c>
      <c r="B104" s="493"/>
      <c r="C104" s="116">
        <v>7</v>
      </c>
      <c r="D104" s="56"/>
      <c r="E104" s="39"/>
      <c r="F104" s="39"/>
      <c r="G104" s="39"/>
      <c r="H104" s="494"/>
      <c r="I104" s="494"/>
      <c r="J104" s="494"/>
      <c r="K104" s="39"/>
      <c r="L104" s="39"/>
      <c r="M104" s="39"/>
      <c r="N104" s="39"/>
      <c r="O104" s="39"/>
      <c r="P104" s="39"/>
      <c r="Q104" s="39"/>
      <c r="R104" s="42"/>
    </row>
    <row r="105" spans="1:18" ht="15.75" x14ac:dyDescent="0.25">
      <c r="A105" s="495" t="s">
        <v>211</v>
      </c>
      <c r="B105" s="494"/>
      <c r="C105" s="494"/>
      <c r="D105" s="55"/>
      <c r="E105" s="39"/>
      <c r="F105" s="39"/>
      <c r="G105" s="39"/>
      <c r="H105" s="494"/>
      <c r="I105" s="494"/>
      <c r="J105" s="494"/>
      <c r="K105" s="39"/>
      <c r="L105" s="39"/>
      <c r="M105" s="39"/>
      <c r="N105" s="39"/>
      <c r="O105" s="39"/>
      <c r="P105" s="39"/>
      <c r="Q105" s="39"/>
      <c r="R105" s="42"/>
    </row>
    <row r="106" spans="1:18" ht="15.75" x14ac:dyDescent="0.25">
      <c r="A106" s="496" t="s">
        <v>212</v>
      </c>
      <c r="B106" s="496"/>
      <c r="C106" s="496"/>
      <c r="D106" s="496"/>
      <c r="E106" s="496"/>
      <c r="F106" s="496" t="s">
        <v>213</v>
      </c>
      <c r="G106" s="496"/>
      <c r="H106" s="496"/>
      <c r="I106" s="496"/>
      <c r="J106" s="496"/>
      <c r="K106" s="497" t="s">
        <v>221</v>
      </c>
      <c r="L106" s="497"/>
      <c r="M106" s="497"/>
      <c r="N106" s="497"/>
      <c r="O106" s="498" t="s">
        <v>222</v>
      </c>
      <c r="P106" s="499"/>
      <c r="Q106" s="499"/>
      <c r="R106" s="500"/>
    </row>
    <row r="107" spans="1:18" ht="31.5" x14ac:dyDescent="0.25">
      <c r="A107" s="117" t="s">
        <v>0</v>
      </c>
      <c r="B107" s="117" t="s">
        <v>1</v>
      </c>
      <c r="C107" s="117" t="s">
        <v>214</v>
      </c>
      <c r="D107" s="57" t="s">
        <v>215</v>
      </c>
      <c r="E107" s="49" t="s">
        <v>216</v>
      </c>
      <c r="F107" s="117" t="s">
        <v>0</v>
      </c>
      <c r="G107" s="49" t="s">
        <v>217</v>
      </c>
      <c r="H107" s="117" t="s">
        <v>218</v>
      </c>
      <c r="I107" s="49" t="s">
        <v>219</v>
      </c>
      <c r="J107" s="49" t="s">
        <v>216</v>
      </c>
      <c r="K107" s="117" t="s">
        <v>0</v>
      </c>
      <c r="L107" s="49" t="s">
        <v>333</v>
      </c>
      <c r="M107" s="49" t="s">
        <v>224</v>
      </c>
      <c r="N107" s="49" t="s">
        <v>216</v>
      </c>
      <c r="O107" s="490"/>
      <c r="P107" s="491"/>
      <c r="Q107" s="491"/>
      <c r="R107" s="501"/>
    </row>
    <row r="108" spans="1:18" ht="15.75" x14ac:dyDescent="0.25">
      <c r="A108" s="50">
        <v>42289</v>
      </c>
      <c r="B108" s="44" t="s">
        <v>136</v>
      </c>
      <c r="C108" s="396">
        <v>1</v>
      </c>
      <c r="D108" s="51">
        <f>+'kardex reactivos 2'!G264</f>
        <v>4.4999999999999998E-2</v>
      </c>
      <c r="E108" s="51">
        <f>+C108*D108</f>
        <v>4.4999999999999998E-2</v>
      </c>
      <c r="F108" s="37"/>
      <c r="G108" s="37">
        <v>7</v>
      </c>
      <c r="H108" s="37">
        <f>+'Minutos MOD por exmen '!C39</f>
        <v>0.25</v>
      </c>
      <c r="I108" s="100">
        <f>+'tasa MOD '!M7</f>
        <v>7.460887357795225</v>
      </c>
      <c r="J108" s="37">
        <f>+I108*H108</f>
        <v>1.8652218394488063</v>
      </c>
      <c r="K108" s="37"/>
      <c r="L108" s="37">
        <f>+J116</f>
        <v>1.8652218394488063</v>
      </c>
      <c r="M108" s="109">
        <f>+'tasa cif'!G9</f>
        <v>0.76985269116945931</v>
      </c>
      <c r="N108" s="375">
        <f>+M108*L108</f>
        <v>1.4359460527277126</v>
      </c>
      <c r="O108" s="502" t="s">
        <v>225</v>
      </c>
      <c r="P108" s="503"/>
      <c r="Q108" s="277">
        <f>+E116</f>
        <v>0.37374333333333332</v>
      </c>
      <c r="R108" s="278"/>
    </row>
    <row r="109" spans="1:18" ht="15.75" x14ac:dyDescent="0.25">
      <c r="A109" s="50">
        <v>42289</v>
      </c>
      <c r="B109" s="45" t="s">
        <v>138</v>
      </c>
      <c r="C109" s="396">
        <v>1</v>
      </c>
      <c r="D109" s="51">
        <f>+'kardex reactivos 2'!G278</f>
        <v>6.2E-2</v>
      </c>
      <c r="E109" s="51">
        <f>+C109*D109</f>
        <v>6.2E-2</v>
      </c>
      <c r="F109" s="37"/>
      <c r="G109" s="37"/>
      <c r="H109" s="37"/>
      <c r="I109" s="37"/>
      <c r="J109" s="37"/>
      <c r="K109" s="37"/>
      <c r="L109" s="37"/>
      <c r="M109" s="37"/>
      <c r="N109" s="375"/>
      <c r="O109" s="504" t="s">
        <v>226</v>
      </c>
      <c r="P109" s="505"/>
      <c r="Q109" s="55">
        <f>+J116</f>
        <v>1.8652218394488063</v>
      </c>
      <c r="R109" s="233"/>
    </row>
    <row r="110" spans="1:18" ht="15.75" x14ac:dyDescent="0.25">
      <c r="A110" s="50">
        <v>42289</v>
      </c>
      <c r="B110" s="46" t="s">
        <v>139</v>
      </c>
      <c r="C110" s="396">
        <v>1</v>
      </c>
      <c r="D110" s="51">
        <f>+'kardex reactivos 2'!G297</f>
        <v>4.931E-2</v>
      </c>
      <c r="E110" s="51">
        <f>+C110*D110</f>
        <v>4.931E-2</v>
      </c>
      <c r="F110" s="37"/>
      <c r="G110" s="37"/>
      <c r="H110" s="37"/>
      <c r="I110" s="37"/>
      <c r="J110" s="37"/>
      <c r="K110" s="37"/>
      <c r="L110" s="37"/>
      <c r="M110" s="37"/>
      <c r="N110" s="375"/>
      <c r="O110" s="279" t="s">
        <v>227</v>
      </c>
      <c r="P110" s="397"/>
      <c r="Q110" s="55">
        <f>+N116</f>
        <v>1.4359460527277126</v>
      </c>
      <c r="R110" s="233"/>
    </row>
    <row r="111" spans="1:18" ht="16.5" thickBot="1" x14ac:dyDescent="0.3">
      <c r="A111" s="50">
        <v>42289</v>
      </c>
      <c r="B111" s="44" t="s">
        <v>140</v>
      </c>
      <c r="C111" s="396">
        <v>1</v>
      </c>
      <c r="D111" s="51">
        <f>+'kardex reactivos 2'!G310</f>
        <v>6.5000000000000002E-2</v>
      </c>
      <c r="E111" s="51">
        <f>+C111*D111</f>
        <v>6.5000000000000002E-2</v>
      </c>
      <c r="F111" s="37"/>
      <c r="G111" s="37"/>
      <c r="H111" s="37"/>
      <c r="I111" s="37"/>
      <c r="J111" s="37"/>
      <c r="K111" s="37"/>
      <c r="L111" s="37"/>
      <c r="M111" s="37"/>
      <c r="N111" s="375"/>
      <c r="O111" s="487" t="s">
        <v>220</v>
      </c>
      <c r="P111" s="488"/>
      <c r="Q111" s="356">
        <f>SUM(Q108:Q110)</f>
        <v>3.6749112255098524</v>
      </c>
      <c r="R111" s="233"/>
    </row>
    <row r="112" spans="1:18" ht="16.5" thickTop="1" x14ac:dyDescent="0.25">
      <c r="A112" s="50">
        <v>42289</v>
      </c>
      <c r="B112" s="44" t="s">
        <v>141</v>
      </c>
      <c r="C112" s="396">
        <v>1</v>
      </c>
      <c r="D112" s="51">
        <f>+'kardex reactivos 2'!G324</f>
        <v>3.9E-2</v>
      </c>
      <c r="E112" s="51">
        <f t="shared" ref="E112:E115" si="5">+C112*D112</f>
        <v>3.9E-2</v>
      </c>
      <c r="F112" s="37"/>
      <c r="G112" s="37"/>
      <c r="H112" s="37"/>
      <c r="I112" s="37"/>
      <c r="J112" s="37"/>
      <c r="K112" s="37"/>
      <c r="L112" s="37"/>
      <c r="M112" s="37"/>
      <c r="N112" s="375"/>
      <c r="O112" s="398"/>
      <c r="P112" s="397"/>
      <c r="Q112" s="39"/>
      <c r="R112" s="233"/>
    </row>
    <row r="113" spans="1:18" ht="15.75" x14ac:dyDescent="0.25">
      <c r="A113" s="50">
        <v>42289</v>
      </c>
      <c r="B113" s="46" t="s">
        <v>142</v>
      </c>
      <c r="C113" s="396">
        <v>1</v>
      </c>
      <c r="D113" s="51">
        <f>+'kardex reactivos 2'!G339</f>
        <v>5.4999999999999993E-2</v>
      </c>
      <c r="E113" s="51">
        <f t="shared" si="5"/>
        <v>5.4999999999999993E-2</v>
      </c>
      <c r="F113" s="37"/>
      <c r="G113" s="37"/>
      <c r="H113" s="37"/>
      <c r="I113" s="37"/>
      <c r="J113" s="37"/>
      <c r="K113" s="37"/>
      <c r="L113" s="37"/>
      <c r="M113" s="37"/>
      <c r="N113" s="375"/>
      <c r="O113" s="398"/>
      <c r="P113" s="397"/>
      <c r="Q113" s="39"/>
      <c r="R113" s="233"/>
    </row>
    <row r="114" spans="1:18" ht="15.75" x14ac:dyDescent="0.25">
      <c r="A114" s="50">
        <v>42289</v>
      </c>
      <c r="B114" s="46" t="s">
        <v>143</v>
      </c>
      <c r="C114" s="396">
        <v>1</v>
      </c>
      <c r="D114" s="51">
        <f>+'kardex reactivos 2'!G354</f>
        <v>3.7359999999999997E-2</v>
      </c>
      <c r="E114" s="51">
        <f t="shared" si="5"/>
        <v>3.7359999999999997E-2</v>
      </c>
      <c r="F114" s="37"/>
      <c r="G114" s="37"/>
      <c r="H114" s="37"/>
      <c r="I114" s="37"/>
      <c r="J114" s="37"/>
      <c r="K114" s="37"/>
      <c r="L114" s="37"/>
      <c r="M114" s="37"/>
      <c r="N114" s="375"/>
      <c r="O114" s="398"/>
      <c r="P114" s="397"/>
      <c r="Q114" s="39"/>
      <c r="R114" s="233"/>
    </row>
    <row r="115" spans="1:18" ht="15.75" x14ac:dyDescent="0.25">
      <c r="A115" s="50">
        <v>42289</v>
      </c>
      <c r="B115" s="46" t="s">
        <v>238</v>
      </c>
      <c r="C115" s="396">
        <v>0.5</v>
      </c>
      <c r="D115" s="51">
        <f>+'kardex reactivos 1'!G268</f>
        <v>4.2146666666666666E-2</v>
      </c>
      <c r="E115" s="51">
        <f t="shared" si="5"/>
        <v>2.1073333333333333E-2</v>
      </c>
      <c r="F115" s="37"/>
      <c r="G115" s="37"/>
      <c r="H115" s="37"/>
      <c r="I115" s="37"/>
      <c r="J115" s="37"/>
      <c r="K115" s="37"/>
      <c r="L115" s="37"/>
      <c r="M115" s="37"/>
      <c r="N115" s="375"/>
      <c r="O115" s="398"/>
      <c r="P115" s="397"/>
      <c r="Q115" s="39"/>
      <c r="R115" s="233"/>
    </row>
    <row r="116" spans="1:18" ht="15.75" x14ac:dyDescent="0.25">
      <c r="A116" s="489" t="s">
        <v>220</v>
      </c>
      <c r="B116" s="489"/>
      <c r="C116" s="489"/>
      <c r="D116" s="489"/>
      <c r="E116" s="52">
        <f>SUM(E108:E115)</f>
        <v>0.37374333333333332</v>
      </c>
      <c r="F116" s="37"/>
      <c r="G116" s="37"/>
      <c r="H116" s="489" t="s">
        <v>220</v>
      </c>
      <c r="I116" s="489"/>
      <c r="J116" s="53">
        <f>+J108</f>
        <v>1.8652218394488063</v>
      </c>
      <c r="K116" s="37"/>
      <c r="L116" s="37"/>
      <c r="M116" s="37"/>
      <c r="N116" s="375">
        <f>+N108</f>
        <v>1.4359460527277126</v>
      </c>
      <c r="O116" s="490"/>
      <c r="P116" s="491"/>
      <c r="Q116" s="399"/>
      <c r="R116" s="280"/>
    </row>
    <row r="120" spans="1:18" ht="15.75" x14ac:dyDescent="0.25">
      <c r="A120" s="506" t="s">
        <v>208</v>
      </c>
      <c r="B120" s="507"/>
      <c r="C120" s="507"/>
      <c r="D120" s="507"/>
      <c r="E120" s="507"/>
      <c r="F120" s="507"/>
      <c r="G120" s="507"/>
      <c r="H120" s="507"/>
      <c r="I120" s="507"/>
      <c r="J120" s="507"/>
      <c r="K120" s="507"/>
      <c r="L120" s="507"/>
      <c r="M120" s="507"/>
      <c r="N120" s="507"/>
      <c r="O120" s="507"/>
      <c r="P120" s="507"/>
      <c r="Q120" s="507"/>
      <c r="R120" s="508"/>
    </row>
    <row r="121" spans="1:18" ht="15.75" x14ac:dyDescent="0.25">
      <c r="A121" s="115" t="s">
        <v>209</v>
      </c>
      <c r="B121" s="116"/>
      <c r="C121" s="39"/>
      <c r="D121" s="55"/>
      <c r="E121" s="39"/>
      <c r="F121" s="39"/>
      <c r="G121" s="39"/>
      <c r="H121" s="494"/>
      <c r="I121" s="494"/>
      <c r="J121" s="494"/>
      <c r="K121" s="39"/>
      <c r="L121" s="39"/>
      <c r="M121" s="39"/>
      <c r="N121" s="39"/>
      <c r="O121" s="39"/>
      <c r="P121" s="39"/>
      <c r="Q121" s="39"/>
      <c r="R121" s="42"/>
    </row>
    <row r="122" spans="1:18" ht="15.75" x14ac:dyDescent="0.25">
      <c r="A122" s="115" t="s">
        <v>228</v>
      </c>
      <c r="B122" s="493" t="s">
        <v>240</v>
      </c>
      <c r="C122" s="493"/>
      <c r="D122" s="55"/>
      <c r="E122" s="39"/>
      <c r="F122" s="39"/>
      <c r="G122" s="39"/>
      <c r="H122" s="494"/>
      <c r="I122" s="494"/>
      <c r="J122" s="494"/>
      <c r="K122" s="39"/>
      <c r="L122" s="39"/>
      <c r="M122" s="39"/>
      <c r="N122" s="39"/>
      <c r="O122" s="39"/>
      <c r="P122" s="39"/>
      <c r="Q122" s="39"/>
      <c r="R122" s="42"/>
    </row>
    <row r="123" spans="1:18" ht="15.75" x14ac:dyDescent="0.25">
      <c r="A123" s="492" t="s">
        <v>210</v>
      </c>
      <c r="B123" s="493"/>
      <c r="C123" s="116">
        <v>8</v>
      </c>
      <c r="D123" s="56"/>
      <c r="E123" s="39"/>
      <c r="F123" s="39"/>
      <c r="G123" s="39"/>
      <c r="H123" s="494"/>
      <c r="I123" s="494"/>
      <c r="J123" s="494"/>
      <c r="K123" s="39"/>
      <c r="L123" s="39"/>
      <c r="M123" s="39"/>
      <c r="N123" s="39"/>
      <c r="O123" s="39"/>
      <c r="P123" s="39"/>
      <c r="Q123" s="39"/>
      <c r="R123" s="42"/>
    </row>
    <row r="124" spans="1:18" ht="15.75" x14ac:dyDescent="0.25">
      <c r="A124" s="510" t="s">
        <v>211</v>
      </c>
      <c r="B124" s="511"/>
      <c r="C124" s="511"/>
      <c r="D124" s="55"/>
      <c r="E124" s="39"/>
      <c r="F124" s="39"/>
      <c r="G124" s="39"/>
      <c r="H124" s="511"/>
      <c r="I124" s="511"/>
      <c r="J124" s="511"/>
      <c r="K124" s="39"/>
      <c r="L124" s="39"/>
      <c r="M124" s="39"/>
      <c r="N124" s="39"/>
      <c r="O124" s="39"/>
      <c r="P124" s="39"/>
      <c r="Q124" s="39"/>
      <c r="R124" s="42"/>
    </row>
    <row r="125" spans="1:18" ht="15.75" x14ac:dyDescent="0.25">
      <c r="A125" s="512" t="s">
        <v>212</v>
      </c>
      <c r="B125" s="513"/>
      <c r="C125" s="513"/>
      <c r="D125" s="513"/>
      <c r="E125" s="514"/>
      <c r="F125" s="512" t="s">
        <v>213</v>
      </c>
      <c r="G125" s="513"/>
      <c r="H125" s="513"/>
      <c r="I125" s="513"/>
      <c r="J125" s="514"/>
      <c r="K125" s="515" t="s">
        <v>221</v>
      </c>
      <c r="L125" s="516"/>
      <c r="M125" s="516"/>
      <c r="N125" s="517"/>
      <c r="O125" s="496" t="s">
        <v>222</v>
      </c>
      <c r="P125" s="496"/>
      <c r="Q125" s="496"/>
      <c r="R125" s="496"/>
    </row>
    <row r="126" spans="1:18" ht="31.5" x14ac:dyDescent="0.25">
      <c r="A126" s="117" t="s">
        <v>0</v>
      </c>
      <c r="B126" s="117" t="s">
        <v>1</v>
      </c>
      <c r="C126" s="117" t="s">
        <v>214</v>
      </c>
      <c r="D126" s="57" t="s">
        <v>215</v>
      </c>
      <c r="E126" s="49" t="s">
        <v>216</v>
      </c>
      <c r="F126" s="117" t="s">
        <v>0</v>
      </c>
      <c r="G126" s="49" t="s">
        <v>217</v>
      </c>
      <c r="H126" s="117" t="s">
        <v>218</v>
      </c>
      <c r="I126" s="49" t="s">
        <v>219</v>
      </c>
      <c r="J126" s="49" t="s">
        <v>216</v>
      </c>
      <c r="K126" s="117" t="s">
        <v>0</v>
      </c>
      <c r="L126" s="49" t="s">
        <v>321</v>
      </c>
      <c r="M126" s="49" t="s">
        <v>224</v>
      </c>
      <c r="N126" s="49" t="s">
        <v>216</v>
      </c>
      <c r="O126" s="496"/>
      <c r="P126" s="496"/>
      <c r="Q126" s="496"/>
      <c r="R126" s="496"/>
    </row>
    <row r="127" spans="1:18" ht="15.75" x14ac:dyDescent="0.25">
      <c r="A127" s="50">
        <v>42283</v>
      </c>
      <c r="B127" s="44" t="s">
        <v>175</v>
      </c>
      <c r="C127" s="396">
        <v>1.5</v>
      </c>
      <c r="D127" s="51">
        <f>+'kardex reactivos 3'!G222</f>
        <v>3.1920000000000004E-2</v>
      </c>
      <c r="E127" s="51">
        <f>+C127*D127</f>
        <v>4.7880000000000006E-2</v>
      </c>
      <c r="F127" s="37"/>
      <c r="G127" s="37"/>
      <c r="H127" s="37">
        <f>+'Minutos MOD por exmen '!C38</f>
        <v>0.13333333333333333</v>
      </c>
      <c r="I127" s="100">
        <f>+'tasa MOD '!M7</f>
        <v>7.460887357795225</v>
      </c>
      <c r="J127" s="37">
        <f>+I127*H127</f>
        <v>0.9947849810393633</v>
      </c>
      <c r="K127" s="37"/>
      <c r="L127" s="37">
        <f>+J130</f>
        <v>0.9947849810393633</v>
      </c>
      <c r="M127" s="109">
        <f>+'tasa cif'!G9</f>
        <v>0.76985269116945931</v>
      </c>
      <c r="N127" s="37">
        <f>+M127*L127</f>
        <v>0.76583789478811337</v>
      </c>
      <c r="O127" s="502" t="s">
        <v>225</v>
      </c>
      <c r="P127" s="503"/>
      <c r="Q127" s="277">
        <f>+E130</f>
        <v>7.7429999999999999E-2</v>
      </c>
      <c r="R127" s="278"/>
    </row>
    <row r="128" spans="1:18" ht="15.75" x14ac:dyDescent="0.25">
      <c r="A128" s="50">
        <v>42283</v>
      </c>
      <c r="B128" s="45" t="s">
        <v>241</v>
      </c>
      <c r="C128" s="396">
        <v>1</v>
      </c>
      <c r="D128" s="51">
        <f>+'kardex reactivos 3'!G202</f>
        <v>2.955E-2</v>
      </c>
      <c r="E128" s="51">
        <f>+D128*C128</f>
        <v>2.955E-2</v>
      </c>
      <c r="F128" s="37"/>
      <c r="G128" s="37"/>
      <c r="H128" s="37"/>
      <c r="I128" s="37"/>
      <c r="J128" s="37"/>
      <c r="K128" s="37"/>
      <c r="L128" s="37"/>
      <c r="M128" s="37"/>
      <c r="N128" s="37"/>
      <c r="O128" s="504" t="s">
        <v>226</v>
      </c>
      <c r="P128" s="505"/>
      <c r="Q128" s="39">
        <f>+J130</f>
        <v>0.9947849810393633</v>
      </c>
      <c r="R128" s="233"/>
    </row>
    <row r="129" spans="1:18" ht="15.75" x14ac:dyDescent="0.25">
      <c r="A129" s="50"/>
      <c r="B129" s="37"/>
      <c r="C129" s="37"/>
      <c r="D129" s="51"/>
      <c r="E129" s="51">
        <f t="shared" ref="E129" si="6">+C129*D129</f>
        <v>0</v>
      </c>
      <c r="F129" s="37"/>
      <c r="G129" s="37"/>
      <c r="H129" s="37"/>
      <c r="I129" s="37"/>
      <c r="J129" s="37"/>
      <c r="K129" s="37"/>
      <c r="L129" s="37"/>
      <c r="M129" s="37"/>
      <c r="N129" s="37"/>
      <c r="O129" s="279" t="s">
        <v>227</v>
      </c>
      <c r="P129" s="397"/>
      <c r="Q129" s="39">
        <f>+N130</f>
        <v>0.76583789478811337</v>
      </c>
      <c r="R129" s="233"/>
    </row>
    <row r="130" spans="1:18" ht="16.5" thickBot="1" x14ac:dyDescent="0.3">
      <c r="A130" s="489" t="s">
        <v>220</v>
      </c>
      <c r="B130" s="489"/>
      <c r="C130" s="489"/>
      <c r="D130" s="489"/>
      <c r="E130" s="52">
        <f>SUM(E127:E129)</f>
        <v>7.7429999999999999E-2</v>
      </c>
      <c r="F130" s="37"/>
      <c r="G130" s="37"/>
      <c r="H130" s="489" t="s">
        <v>220</v>
      </c>
      <c r="I130" s="489"/>
      <c r="J130" s="53">
        <f>+J127</f>
        <v>0.9947849810393633</v>
      </c>
      <c r="K130" s="37"/>
      <c r="L130" s="37"/>
      <c r="M130" s="37"/>
      <c r="N130" s="37">
        <f>+N127</f>
        <v>0.76583789478811337</v>
      </c>
      <c r="O130" s="490"/>
      <c r="P130" s="491"/>
      <c r="Q130" s="377">
        <f>SUM(Q127:Q129)</f>
        <v>1.8380528758274766</v>
      </c>
      <c r="R130" s="280"/>
    </row>
    <row r="131" spans="1:18" ht="15.75" thickTop="1" x14ac:dyDescent="0.25"/>
    <row r="133" spans="1:18" ht="15.75" x14ac:dyDescent="0.25">
      <c r="A133" s="506" t="s">
        <v>208</v>
      </c>
      <c r="B133" s="507"/>
      <c r="C133" s="507"/>
      <c r="D133" s="507"/>
      <c r="E133" s="507"/>
      <c r="F133" s="507"/>
      <c r="G133" s="507"/>
      <c r="H133" s="507"/>
      <c r="I133" s="507"/>
      <c r="J133" s="507"/>
      <c r="K133" s="507"/>
      <c r="L133" s="507"/>
      <c r="M133" s="507"/>
      <c r="N133" s="507"/>
      <c r="O133" s="507"/>
      <c r="P133" s="507"/>
      <c r="Q133" s="507"/>
      <c r="R133" s="508"/>
    </row>
    <row r="134" spans="1:18" ht="15.75" x14ac:dyDescent="0.25">
      <c r="A134" s="119" t="s">
        <v>209</v>
      </c>
      <c r="B134" s="118"/>
      <c r="C134" s="39"/>
      <c r="D134" s="55"/>
      <c r="E134" s="39"/>
      <c r="F134" s="39"/>
      <c r="G134" s="39"/>
      <c r="H134" s="494"/>
      <c r="I134" s="494"/>
      <c r="J134" s="494"/>
      <c r="K134" s="39"/>
      <c r="L134" s="39"/>
      <c r="M134" s="39"/>
      <c r="N134" s="39"/>
      <c r="O134" s="39"/>
      <c r="P134" s="39"/>
      <c r="Q134" s="39"/>
      <c r="R134" s="42"/>
    </row>
    <row r="135" spans="1:18" ht="15.75" x14ac:dyDescent="0.25">
      <c r="A135" s="119" t="s">
        <v>228</v>
      </c>
      <c r="B135" s="493" t="s">
        <v>231</v>
      </c>
      <c r="C135" s="493"/>
      <c r="D135" s="55"/>
      <c r="E135" s="39"/>
      <c r="F135" s="39"/>
      <c r="G135" s="39"/>
      <c r="H135" s="494"/>
      <c r="I135" s="494"/>
      <c r="J135" s="494"/>
      <c r="K135" s="39"/>
      <c r="L135" s="39"/>
      <c r="M135" s="39"/>
      <c r="N135" s="39"/>
      <c r="O135" s="39"/>
      <c r="P135" s="39"/>
      <c r="Q135" s="39"/>
      <c r="R135" s="42"/>
    </row>
    <row r="136" spans="1:18" ht="15.75" x14ac:dyDescent="0.25">
      <c r="A136" s="492" t="s">
        <v>210</v>
      </c>
      <c r="B136" s="493"/>
      <c r="C136" s="118">
        <v>9</v>
      </c>
      <c r="D136" s="56"/>
      <c r="E136" s="39"/>
      <c r="F136" s="39"/>
      <c r="G136" s="39"/>
      <c r="H136" s="494"/>
      <c r="I136" s="494"/>
      <c r="J136" s="494"/>
      <c r="K136" s="39"/>
      <c r="L136" s="39"/>
      <c r="M136" s="39"/>
      <c r="N136" s="39"/>
      <c r="O136" s="39"/>
      <c r="P136" s="39"/>
      <c r="Q136" s="39"/>
      <c r="R136" s="42"/>
    </row>
    <row r="137" spans="1:18" ht="15.75" x14ac:dyDescent="0.25">
      <c r="A137" s="510" t="s">
        <v>211</v>
      </c>
      <c r="B137" s="511"/>
      <c r="C137" s="511"/>
      <c r="D137" s="55"/>
      <c r="E137" s="39"/>
      <c r="F137" s="39"/>
      <c r="G137" s="39"/>
      <c r="H137" s="511"/>
      <c r="I137" s="511"/>
      <c r="J137" s="511"/>
      <c r="K137" s="39"/>
      <c r="L137" s="39"/>
      <c r="M137" s="39"/>
      <c r="N137" s="39"/>
      <c r="O137" s="39"/>
      <c r="P137" s="39"/>
      <c r="Q137" s="39"/>
      <c r="R137" s="42"/>
    </row>
    <row r="138" spans="1:18" ht="15.75" x14ac:dyDescent="0.25">
      <c r="A138" s="496" t="s">
        <v>212</v>
      </c>
      <c r="B138" s="496"/>
      <c r="C138" s="496"/>
      <c r="D138" s="496"/>
      <c r="E138" s="496"/>
      <c r="F138" s="496" t="s">
        <v>213</v>
      </c>
      <c r="G138" s="496"/>
      <c r="H138" s="496"/>
      <c r="I138" s="496"/>
      <c r="J138" s="496"/>
      <c r="K138" s="497" t="s">
        <v>221</v>
      </c>
      <c r="L138" s="497"/>
      <c r="M138" s="497"/>
      <c r="N138" s="497"/>
      <c r="O138" s="498" t="s">
        <v>222</v>
      </c>
      <c r="P138" s="499"/>
      <c r="Q138" s="499"/>
      <c r="R138" s="500"/>
    </row>
    <row r="139" spans="1:18" ht="31.5" x14ac:dyDescent="0.25">
      <c r="A139" s="121" t="s">
        <v>0</v>
      </c>
      <c r="B139" s="121" t="s">
        <v>1</v>
      </c>
      <c r="C139" s="121" t="s">
        <v>214</v>
      </c>
      <c r="D139" s="57" t="s">
        <v>215</v>
      </c>
      <c r="E139" s="49" t="s">
        <v>216</v>
      </c>
      <c r="F139" s="121" t="s">
        <v>0</v>
      </c>
      <c r="G139" s="49" t="s">
        <v>217</v>
      </c>
      <c r="H139" s="400" t="s">
        <v>218</v>
      </c>
      <c r="I139" s="49" t="s">
        <v>219</v>
      </c>
      <c r="J139" s="49" t="s">
        <v>216</v>
      </c>
      <c r="K139" s="121" t="s">
        <v>0</v>
      </c>
      <c r="L139" s="49" t="s">
        <v>223</v>
      </c>
      <c r="M139" s="49" t="s">
        <v>224</v>
      </c>
      <c r="N139" s="49" t="s">
        <v>216</v>
      </c>
      <c r="O139" s="490"/>
      <c r="P139" s="491"/>
      <c r="Q139" s="491"/>
      <c r="R139" s="501"/>
    </row>
    <row r="140" spans="1:18" ht="15.75" x14ac:dyDescent="0.25">
      <c r="A140" s="50">
        <v>42297</v>
      </c>
      <c r="B140" s="44" t="s">
        <v>232</v>
      </c>
      <c r="C140" s="396">
        <v>3</v>
      </c>
      <c r="D140" s="51">
        <f>+'kardex reactivos 3'!G293</f>
        <v>4.4999999999999998E-2</v>
      </c>
      <c r="E140" s="51">
        <f>+C140*D140</f>
        <v>0.13500000000000001</v>
      </c>
      <c r="F140" s="37"/>
      <c r="G140" s="37">
        <v>9</v>
      </c>
      <c r="H140" s="37">
        <f>+'Minutos MOD por exmen '!C40</f>
        <v>0.2</v>
      </c>
      <c r="I140" s="100">
        <f>+'tasa MOD '!M7</f>
        <v>7.460887357795225</v>
      </c>
      <c r="J140" s="37">
        <f>+I140*H140</f>
        <v>1.492177471559045</v>
      </c>
      <c r="K140" s="37"/>
      <c r="L140" s="37">
        <f>+J149</f>
        <v>1.492177471559045</v>
      </c>
      <c r="M140" s="109">
        <f>+'tasa cif'!G9</f>
        <v>0.76985269116945931</v>
      </c>
      <c r="N140" s="37">
        <f>+M140*L140</f>
        <v>1.1487568421821701</v>
      </c>
      <c r="O140" s="502" t="s">
        <v>225</v>
      </c>
      <c r="P140" s="503"/>
      <c r="Q140" s="277">
        <f>+E149</f>
        <v>0.62652333333333332</v>
      </c>
      <c r="R140" s="278"/>
    </row>
    <row r="141" spans="1:18" ht="15.75" x14ac:dyDescent="0.25">
      <c r="A141" s="50">
        <v>42297</v>
      </c>
      <c r="B141" s="45" t="s">
        <v>233</v>
      </c>
      <c r="C141" s="396">
        <v>1</v>
      </c>
      <c r="D141" s="51">
        <f>+'kardex reactivos 1'!G325</f>
        <v>5.3399999999999996E-2</v>
      </c>
      <c r="E141" s="51">
        <f>+C141*D141</f>
        <v>5.3399999999999996E-2</v>
      </c>
      <c r="F141" s="37"/>
      <c r="G141" s="37"/>
      <c r="H141" s="37"/>
      <c r="I141" s="37"/>
      <c r="J141" s="37"/>
      <c r="K141" s="37"/>
      <c r="L141" s="37"/>
      <c r="M141" s="37"/>
      <c r="N141" s="37"/>
      <c r="O141" s="504" t="s">
        <v>226</v>
      </c>
      <c r="P141" s="505"/>
      <c r="Q141" s="39">
        <f>+J149</f>
        <v>1.492177471559045</v>
      </c>
      <c r="R141" s="233"/>
    </row>
    <row r="142" spans="1:18" ht="15.75" x14ac:dyDescent="0.25">
      <c r="A142" s="50">
        <v>42297</v>
      </c>
      <c r="B142" s="46" t="s">
        <v>234</v>
      </c>
      <c r="C142" s="396">
        <v>1</v>
      </c>
      <c r="D142" s="51">
        <f>+'kardex reactivos 1'!G347</f>
        <v>3.4979999999999997E-2</v>
      </c>
      <c r="E142" s="51">
        <f>+C142*D142</f>
        <v>3.4979999999999997E-2</v>
      </c>
      <c r="F142" s="37"/>
      <c r="G142" s="37"/>
      <c r="H142" s="37"/>
      <c r="I142" s="37"/>
      <c r="J142" s="37"/>
      <c r="K142" s="37"/>
      <c r="L142" s="37"/>
      <c r="M142" s="37"/>
      <c r="N142" s="37"/>
      <c r="O142" s="279" t="s">
        <v>227</v>
      </c>
      <c r="P142" s="397"/>
      <c r="Q142" s="39">
        <f>+N149</f>
        <v>1.1487568421821701</v>
      </c>
      <c r="R142" s="233"/>
    </row>
    <row r="143" spans="1:18" ht="16.5" thickBot="1" x14ac:dyDescent="0.3">
      <c r="A143" s="50">
        <v>42297</v>
      </c>
      <c r="B143" s="44" t="s">
        <v>98</v>
      </c>
      <c r="C143" s="396">
        <v>1</v>
      </c>
      <c r="D143" s="51">
        <f>+'kardex reactivos 1'!G369</f>
        <v>2.886E-2</v>
      </c>
      <c r="E143" s="51">
        <f>+C143*D143</f>
        <v>2.886E-2</v>
      </c>
      <c r="F143" s="37"/>
      <c r="G143" s="37"/>
      <c r="H143" s="37"/>
      <c r="I143" s="37"/>
      <c r="J143" s="37"/>
      <c r="K143" s="37"/>
      <c r="L143" s="37"/>
      <c r="M143" s="37"/>
      <c r="N143" s="37"/>
      <c r="O143" s="398"/>
      <c r="P143" s="397"/>
      <c r="Q143" s="356">
        <f>SUM(Q140:Q142)</f>
        <v>3.267457647074548</v>
      </c>
      <c r="R143" s="233"/>
    </row>
    <row r="144" spans="1:18" ht="16.5" thickTop="1" x14ac:dyDescent="0.25">
      <c r="A144" s="50">
        <v>42297</v>
      </c>
      <c r="B144" s="44" t="s">
        <v>99</v>
      </c>
      <c r="C144" s="396">
        <v>1.5</v>
      </c>
      <c r="D144" s="51">
        <f>+'kardex reactivos 1'!G394</f>
        <v>3.7999999999999999E-2</v>
      </c>
      <c r="E144" s="51">
        <f t="shared" ref="E144:E148" si="7">+C144*D144</f>
        <v>5.6999999999999995E-2</v>
      </c>
      <c r="F144" s="37"/>
      <c r="G144" s="37"/>
      <c r="H144" s="37"/>
      <c r="I144" s="37"/>
      <c r="J144" s="37"/>
      <c r="K144" s="37"/>
      <c r="L144" s="37"/>
      <c r="M144" s="37"/>
      <c r="N144" s="37"/>
      <c r="O144" s="398"/>
      <c r="P144" s="397"/>
      <c r="Q144" s="39"/>
      <c r="R144" s="233"/>
    </row>
    <row r="145" spans="1:18" ht="15.75" x14ac:dyDescent="0.25">
      <c r="A145" s="50">
        <v>42297</v>
      </c>
      <c r="B145" s="46" t="s">
        <v>100</v>
      </c>
      <c r="C145" s="396">
        <v>2</v>
      </c>
      <c r="D145" s="51">
        <f>+'kardex reactivos 1'!G416</f>
        <v>5.8799999999999998E-2</v>
      </c>
      <c r="E145" s="51">
        <f t="shared" si="7"/>
        <v>0.1176</v>
      </c>
      <c r="F145" s="37"/>
      <c r="G145" s="37"/>
      <c r="H145" s="37"/>
      <c r="I145" s="37"/>
      <c r="J145" s="37"/>
      <c r="K145" s="37"/>
      <c r="L145" s="37"/>
      <c r="M145" s="37"/>
      <c r="N145" s="37"/>
      <c r="O145" s="398"/>
      <c r="P145" s="397"/>
      <c r="Q145" s="39"/>
      <c r="R145" s="233"/>
    </row>
    <row r="146" spans="1:18" ht="15.75" x14ac:dyDescent="0.25">
      <c r="A146" s="50">
        <v>42297</v>
      </c>
      <c r="B146" s="46" t="s">
        <v>235</v>
      </c>
      <c r="C146" s="396">
        <v>1</v>
      </c>
      <c r="D146" s="51">
        <f>+'kardex reactivos 1'!G429</f>
        <v>8.2959999999999992E-2</v>
      </c>
      <c r="E146" s="51">
        <f t="shared" si="7"/>
        <v>8.2959999999999992E-2</v>
      </c>
      <c r="F146" s="37"/>
      <c r="G146" s="37"/>
      <c r="H146" s="37"/>
      <c r="I146" s="37"/>
      <c r="J146" s="37"/>
      <c r="K146" s="37"/>
      <c r="L146" s="37"/>
      <c r="M146" s="37"/>
      <c r="N146" s="37"/>
      <c r="O146" s="398"/>
      <c r="P146" s="397"/>
      <c r="Q146" s="39"/>
      <c r="R146" s="233"/>
    </row>
    <row r="147" spans="1:18" ht="15.75" x14ac:dyDescent="0.25">
      <c r="A147" s="50">
        <v>42297</v>
      </c>
      <c r="B147" s="46" t="s">
        <v>236</v>
      </c>
      <c r="C147" s="396">
        <v>2.5</v>
      </c>
      <c r="D147" s="51">
        <f>+'kardex reactivos 1'!G451</f>
        <v>3.8259999999999995E-2</v>
      </c>
      <c r="E147" s="51">
        <f t="shared" si="7"/>
        <v>9.5649999999999985E-2</v>
      </c>
      <c r="F147" s="37"/>
      <c r="G147" s="37"/>
      <c r="H147" s="37"/>
      <c r="I147" s="37"/>
      <c r="J147" s="37"/>
      <c r="K147" s="37"/>
      <c r="L147" s="37"/>
      <c r="M147" s="37"/>
      <c r="N147" s="37"/>
      <c r="O147" s="398"/>
      <c r="P147" s="397"/>
      <c r="Q147" s="39"/>
      <c r="R147" s="233"/>
    </row>
    <row r="148" spans="1:18" ht="15.75" x14ac:dyDescent="0.25">
      <c r="A148" s="50">
        <v>42297</v>
      </c>
      <c r="B148" s="46" t="s">
        <v>93</v>
      </c>
      <c r="C148" s="396">
        <v>0.5</v>
      </c>
      <c r="D148" s="51">
        <f>+'kardex reactivos 1'!G269</f>
        <v>4.2146666666666666E-2</v>
      </c>
      <c r="E148" s="51">
        <f t="shared" si="7"/>
        <v>2.1073333333333333E-2</v>
      </c>
      <c r="F148" s="37"/>
      <c r="G148" s="37"/>
      <c r="H148" s="37"/>
      <c r="I148" s="37"/>
      <c r="J148" s="37"/>
      <c r="K148" s="37"/>
      <c r="L148" s="37"/>
      <c r="M148" s="37"/>
      <c r="N148" s="37"/>
      <c r="O148" s="398"/>
      <c r="P148" s="397"/>
      <c r="Q148" s="39"/>
      <c r="R148" s="233"/>
    </row>
    <row r="149" spans="1:18" ht="15.75" x14ac:dyDescent="0.25">
      <c r="A149" s="489" t="s">
        <v>220</v>
      </c>
      <c r="B149" s="489"/>
      <c r="C149" s="489"/>
      <c r="D149" s="489"/>
      <c r="E149" s="52">
        <f>SUM(E140:E148)</f>
        <v>0.62652333333333332</v>
      </c>
      <c r="F149" s="37"/>
      <c r="G149" s="37"/>
      <c r="H149" s="489" t="s">
        <v>220</v>
      </c>
      <c r="I149" s="489"/>
      <c r="J149" s="53">
        <f>+J140</f>
        <v>1.492177471559045</v>
      </c>
      <c r="K149" s="37"/>
      <c r="L149" s="37"/>
      <c r="M149" s="37"/>
      <c r="N149" s="37">
        <f>+N140</f>
        <v>1.1487568421821701</v>
      </c>
      <c r="O149" s="490"/>
      <c r="P149" s="491"/>
      <c r="Q149" s="399"/>
      <c r="R149" s="280"/>
    </row>
    <row r="150" spans="1:18" ht="15.75" x14ac:dyDescent="0.25">
      <c r="A150" s="70"/>
      <c r="B150" s="70"/>
      <c r="C150" s="70"/>
      <c r="D150" s="70"/>
      <c r="E150" s="71"/>
      <c r="F150" s="118"/>
      <c r="G150" s="118"/>
      <c r="H150" s="70"/>
      <c r="I150" s="70"/>
      <c r="J150" s="72"/>
      <c r="K150" s="118"/>
      <c r="L150" s="118"/>
      <c r="M150" s="118"/>
      <c r="N150" s="118"/>
      <c r="O150" s="120"/>
      <c r="P150" s="120"/>
      <c r="Q150" s="118"/>
      <c r="R150" s="118"/>
    </row>
    <row r="151" spans="1:18" ht="15.75" x14ac:dyDescent="0.25">
      <c r="A151" s="70"/>
      <c r="B151" s="70"/>
      <c r="C151" s="70"/>
      <c r="D151" s="70"/>
      <c r="E151" s="71"/>
      <c r="F151" s="137"/>
      <c r="G151" s="137"/>
      <c r="H151" s="70"/>
      <c r="I151" s="70"/>
      <c r="J151" s="72"/>
      <c r="K151" s="137"/>
      <c r="L151" s="137"/>
      <c r="M151" s="137"/>
      <c r="N151" s="137"/>
      <c r="O151" s="136"/>
      <c r="P151" s="136"/>
      <c r="Q151" s="137"/>
      <c r="R151" s="137"/>
    </row>
    <row r="152" spans="1:18" ht="15.75" x14ac:dyDescent="0.25">
      <c r="A152" s="70"/>
      <c r="B152" s="70"/>
      <c r="C152" s="70"/>
      <c r="D152" s="70"/>
      <c r="E152" s="71"/>
      <c r="F152" s="137"/>
      <c r="G152" s="137"/>
      <c r="H152" s="70"/>
      <c r="I152" s="70"/>
      <c r="J152" s="72"/>
      <c r="K152" s="137"/>
      <c r="L152" s="137"/>
      <c r="M152" s="137"/>
      <c r="N152" s="137"/>
      <c r="O152" s="136"/>
      <c r="P152" s="136"/>
      <c r="Q152" s="137"/>
      <c r="R152" s="137"/>
    </row>
    <row r="153" spans="1:18" ht="15.75" x14ac:dyDescent="0.25">
      <c r="A153" s="70"/>
      <c r="B153" s="70"/>
      <c r="C153" s="70"/>
      <c r="D153" s="70"/>
      <c r="E153" s="71"/>
      <c r="F153" s="137"/>
      <c r="G153" s="137"/>
      <c r="H153" s="70"/>
      <c r="I153" s="70"/>
      <c r="J153" s="72"/>
      <c r="K153" s="137"/>
      <c r="L153" s="137"/>
      <c r="M153" s="137"/>
      <c r="N153" s="137"/>
      <c r="O153" s="136"/>
      <c r="P153" s="136"/>
      <c r="Q153" s="137"/>
      <c r="R153" s="137"/>
    </row>
    <row r="154" spans="1:18" ht="15.75" x14ac:dyDescent="0.25">
      <c r="A154" s="70"/>
      <c r="B154" s="70"/>
      <c r="C154" s="70"/>
      <c r="D154" s="70"/>
      <c r="E154" s="71"/>
      <c r="F154" s="118"/>
      <c r="G154" s="118"/>
      <c r="H154" s="70"/>
      <c r="I154" s="70"/>
      <c r="J154" s="72"/>
      <c r="K154" s="118"/>
      <c r="L154" s="118"/>
      <c r="M154" s="118"/>
      <c r="N154" s="118"/>
      <c r="O154" s="120"/>
      <c r="P154" s="120"/>
      <c r="Q154" s="118"/>
      <c r="R154" s="118"/>
    </row>
    <row r="155" spans="1:18" ht="15.75" x14ac:dyDescent="0.25">
      <c r="A155" s="506" t="s">
        <v>208</v>
      </c>
      <c r="B155" s="507"/>
      <c r="C155" s="507"/>
      <c r="D155" s="507"/>
      <c r="E155" s="507"/>
      <c r="F155" s="507"/>
      <c r="G155" s="507"/>
      <c r="H155" s="507"/>
      <c r="I155" s="507"/>
      <c r="J155" s="507"/>
      <c r="K155" s="507"/>
      <c r="L155" s="507"/>
      <c r="M155" s="507"/>
      <c r="N155" s="507"/>
      <c r="O155" s="507"/>
      <c r="P155" s="507"/>
      <c r="Q155" s="507"/>
      <c r="R155" s="508"/>
    </row>
    <row r="156" spans="1:18" ht="15.75" x14ac:dyDescent="0.25">
      <c r="A156" s="131" t="s">
        <v>209</v>
      </c>
      <c r="B156" s="129"/>
      <c r="C156" s="39"/>
      <c r="D156" s="55"/>
      <c r="E156" s="39"/>
      <c r="F156" s="39"/>
      <c r="G156" s="39"/>
      <c r="H156" s="494"/>
      <c r="I156" s="494"/>
      <c r="J156" s="494"/>
      <c r="K156" s="39"/>
      <c r="L156" s="39"/>
      <c r="M156" s="39"/>
      <c r="N156" s="39"/>
      <c r="O156" s="39"/>
      <c r="P156" s="39"/>
      <c r="Q156" s="39"/>
      <c r="R156" s="42"/>
    </row>
    <row r="157" spans="1:18" ht="15.75" x14ac:dyDescent="0.25">
      <c r="A157" s="131" t="s">
        <v>228</v>
      </c>
      <c r="B157" s="493" t="s">
        <v>244</v>
      </c>
      <c r="C157" s="493"/>
      <c r="D157" s="55"/>
      <c r="E157" s="39"/>
      <c r="F157" s="39"/>
      <c r="G157" s="39"/>
      <c r="H157" s="494"/>
      <c r="I157" s="494"/>
      <c r="J157" s="494"/>
      <c r="K157" s="39"/>
      <c r="L157" s="39"/>
      <c r="M157" s="39"/>
      <c r="N157" s="39"/>
      <c r="O157" s="39"/>
      <c r="P157" s="39"/>
      <c r="Q157" s="39"/>
      <c r="R157" s="42"/>
    </row>
    <row r="158" spans="1:18" ht="15.75" x14ac:dyDescent="0.25">
      <c r="A158" s="492" t="s">
        <v>210</v>
      </c>
      <c r="B158" s="493"/>
      <c r="C158" s="129">
        <v>10</v>
      </c>
      <c r="D158" s="56"/>
      <c r="E158" s="39"/>
      <c r="F158" s="39"/>
      <c r="G158" s="39"/>
      <c r="H158" s="494"/>
      <c r="I158" s="494"/>
      <c r="J158" s="494"/>
      <c r="K158" s="39"/>
      <c r="L158" s="39"/>
      <c r="M158" s="39"/>
      <c r="N158" s="39"/>
      <c r="O158" s="39"/>
      <c r="P158" s="39"/>
      <c r="Q158" s="39"/>
      <c r="R158" s="42"/>
    </row>
    <row r="159" spans="1:18" ht="15.75" x14ac:dyDescent="0.25">
      <c r="A159" s="495" t="s">
        <v>211</v>
      </c>
      <c r="B159" s="494"/>
      <c r="C159" s="494"/>
      <c r="D159" s="55"/>
      <c r="E159" s="39"/>
      <c r="F159" s="39"/>
      <c r="G159" s="39"/>
      <c r="H159" s="494"/>
      <c r="I159" s="494"/>
      <c r="J159" s="494"/>
      <c r="K159" s="39"/>
      <c r="L159" s="39"/>
      <c r="M159" s="39"/>
      <c r="N159" s="39"/>
      <c r="O159" s="39"/>
      <c r="P159" s="39"/>
      <c r="Q159" s="39"/>
      <c r="R159" s="42"/>
    </row>
    <row r="160" spans="1:18" ht="15.75" x14ac:dyDescent="0.25">
      <c r="A160" s="496" t="s">
        <v>212</v>
      </c>
      <c r="B160" s="496"/>
      <c r="C160" s="496"/>
      <c r="D160" s="496"/>
      <c r="E160" s="496"/>
      <c r="F160" s="496" t="s">
        <v>213</v>
      </c>
      <c r="G160" s="496"/>
      <c r="H160" s="496"/>
      <c r="I160" s="496"/>
      <c r="J160" s="496"/>
      <c r="K160" s="497" t="s">
        <v>221</v>
      </c>
      <c r="L160" s="497"/>
      <c r="M160" s="497"/>
      <c r="N160" s="497"/>
      <c r="O160" s="498" t="s">
        <v>222</v>
      </c>
      <c r="P160" s="499"/>
      <c r="Q160" s="499"/>
      <c r="R160" s="500"/>
    </row>
    <row r="161" spans="1:18" ht="31.5" x14ac:dyDescent="0.25">
      <c r="A161" s="130" t="s">
        <v>0</v>
      </c>
      <c r="B161" s="130" t="s">
        <v>1</v>
      </c>
      <c r="C161" s="130" t="s">
        <v>214</v>
      </c>
      <c r="D161" s="57" t="s">
        <v>215</v>
      </c>
      <c r="E161" s="49" t="s">
        <v>216</v>
      </c>
      <c r="F161" s="130" t="s">
        <v>0</v>
      </c>
      <c r="G161" s="49" t="s">
        <v>217</v>
      </c>
      <c r="H161" s="400" t="s">
        <v>218</v>
      </c>
      <c r="I161" s="49" t="s">
        <v>219</v>
      </c>
      <c r="J161" s="49" t="s">
        <v>216</v>
      </c>
      <c r="K161" s="130" t="s">
        <v>0</v>
      </c>
      <c r="L161" s="49" t="s">
        <v>321</v>
      </c>
      <c r="M161" s="49" t="s">
        <v>224</v>
      </c>
      <c r="N161" s="49" t="s">
        <v>216</v>
      </c>
      <c r="O161" s="490"/>
      <c r="P161" s="491"/>
      <c r="Q161" s="491"/>
      <c r="R161" s="501"/>
    </row>
    <row r="162" spans="1:18" ht="15.75" x14ac:dyDescent="0.25">
      <c r="A162" s="50">
        <v>42278</v>
      </c>
      <c r="B162" s="14" t="s">
        <v>145</v>
      </c>
      <c r="C162" s="37">
        <v>1</v>
      </c>
      <c r="D162" s="51">
        <f>+'kardex reactivos 2'!H372</f>
        <v>5.1999999999999991E-2</v>
      </c>
      <c r="E162" s="51">
        <f>+C162*D162</f>
        <v>5.1999999999999991E-2</v>
      </c>
      <c r="F162" s="37"/>
      <c r="G162" s="37"/>
      <c r="H162" s="37">
        <f>+'Minutos MOD por exmen '!C37</f>
        <v>8.3333333333333329E-2</v>
      </c>
      <c r="I162" s="100">
        <f>+'tasa MOD '!M7</f>
        <v>7.460887357795225</v>
      </c>
      <c r="J162" s="37">
        <f>+I162*H162</f>
        <v>0.62174061314960205</v>
      </c>
      <c r="K162" s="37"/>
      <c r="L162" s="37">
        <f>+J166</f>
        <v>0.62174061314960205</v>
      </c>
      <c r="M162" s="109">
        <f>+'tasa cif'!G9</f>
        <v>0.76985269116945931</v>
      </c>
      <c r="N162" s="37">
        <f>+L162*M162</f>
        <v>0.47864868424257084</v>
      </c>
      <c r="O162" s="502" t="s">
        <v>225</v>
      </c>
      <c r="P162" s="503"/>
      <c r="Q162" s="277">
        <f>+E166</f>
        <v>5.1999999999999991E-2</v>
      </c>
      <c r="R162" s="278"/>
    </row>
    <row r="163" spans="1:18" ht="15.75" x14ac:dyDescent="0.25">
      <c r="A163" s="50"/>
      <c r="B163" s="54"/>
      <c r="C163" s="37"/>
      <c r="D163" s="51"/>
      <c r="E163" s="51">
        <f t="shared" ref="E163:E165" si="8">+C163*D163</f>
        <v>0</v>
      </c>
      <c r="F163" s="37"/>
      <c r="G163" s="37"/>
      <c r="H163" s="37"/>
      <c r="I163" s="37"/>
      <c r="J163" s="37"/>
      <c r="K163" s="37"/>
      <c r="L163" s="37"/>
      <c r="M163" s="37"/>
      <c r="N163" s="37"/>
      <c r="O163" s="487" t="s">
        <v>226</v>
      </c>
      <c r="P163" s="488"/>
      <c r="Q163" s="39">
        <f>+J166</f>
        <v>0.62174061314960205</v>
      </c>
      <c r="R163" s="233"/>
    </row>
    <row r="164" spans="1:18" ht="15.75" x14ac:dyDescent="0.25">
      <c r="A164" s="50"/>
      <c r="B164" s="37"/>
      <c r="C164" s="37"/>
      <c r="D164" s="51"/>
      <c r="E164" s="51">
        <f t="shared" si="8"/>
        <v>0</v>
      </c>
      <c r="F164" s="37"/>
      <c r="G164" s="37"/>
      <c r="H164" s="37"/>
      <c r="I164" s="37"/>
      <c r="J164" s="37"/>
      <c r="K164" s="37"/>
      <c r="L164" s="37"/>
      <c r="M164" s="37"/>
      <c r="N164" s="37"/>
      <c r="O164" s="279" t="s">
        <v>227</v>
      </c>
      <c r="P164" s="397"/>
      <c r="Q164" s="39">
        <f>+N166</f>
        <v>0.47864868424257084</v>
      </c>
      <c r="R164" s="233"/>
    </row>
    <row r="165" spans="1:18" ht="16.5" thickBot="1" x14ac:dyDescent="0.3">
      <c r="A165" s="50"/>
      <c r="B165" s="37"/>
      <c r="C165" s="37"/>
      <c r="D165" s="51"/>
      <c r="E165" s="51">
        <f t="shared" si="8"/>
        <v>0</v>
      </c>
      <c r="F165" s="37"/>
      <c r="G165" s="37"/>
      <c r="H165" s="37"/>
      <c r="I165" s="37"/>
      <c r="J165" s="37"/>
      <c r="K165" s="37"/>
      <c r="L165" s="37"/>
      <c r="M165" s="37"/>
      <c r="N165" s="37"/>
      <c r="O165" s="398"/>
      <c r="P165" s="397"/>
      <c r="Q165" s="356">
        <f>SUM(Q162:Q164)</f>
        <v>1.1523892973921728</v>
      </c>
      <c r="R165" s="233"/>
    </row>
    <row r="166" spans="1:18" ht="16.5" thickTop="1" x14ac:dyDescent="0.25">
      <c r="A166" s="489" t="s">
        <v>220</v>
      </c>
      <c r="B166" s="489"/>
      <c r="C166" s="489"/>
      <c r="D166" s="489"/>
      <c r="E166" s="52">
        <f>SUM(E162:E165)</f>
        <v>5.1999999999999991E-2</v>
      </c>
      <c r="F166" s="37"/>
      <c r="G166" s="37"/>
      <c r="H166" s="489" t="s">
        <v>220</v>
      </c>
      <c r="I166" s="489"/>
      <c r="J166" s="53">
        <f>+J162</f>
        <v>0.62174061314960205</v>
      </c>
      <c r="K166" s="37"/>
      <c r="L166" s="37"/>
      <c r="M166" s="37"/>
      <c r="N166" s="37">
        <f>+N162</f>
        <v>0.47864868424257084</v>
      </c>
      <c r="O166" s="490"/>
      <c r="P166" s="491"/>
      <c r="Q166" s="399"/>
      <c r="R166" s="280"/>
    </row>
    <row r="167" spans="1:18" ht="15.75" x14ac:dyDescent="0.25">
      <c r="A167" s="70"/>
      <c r="B167" s="70"/>
      <c r="C167" s="70"/>
      <c r="D167" s="70"/>
      <c r="E167" s="71"/>
      <c r="F167" s="137"/>
      <c r="G167" s="137"/>
      <c r="H167" s="70"/>
      <c r="I167" s="70"/>
      <c r="J167" s="72"/>
      <c r="K167" s="137"/>
      <c r="L167" s="137"/>
      <c r="M167" s="137"/>
      <c r="N167" s="137"/>
      <c r="O167" s="136"/>
      <c r="P167" s="136"/>
      <c r="Q167" s="137"/>
      <c r="R167" s="137"/>
    </row>
    <row r="168" spans="1:18" ht="15.75" x14ac:dyDescent="0.25">
      <c r="A168" s="70"/>
      <c r="B168" s="70"/>
      <c r="C168" s="70"/>
      <c r="D168" s="70"/>
      <c r="E168" s="71"/>
      <c r="F168" s="137"/>
      <c r="G168" s="137"/>
      <c r="H168" s="70"/>
      <c r="I168" s="70"/>
      <c r="J168" s="72"/>
      <c r="K168" s="137"/>
      <c r="L168" s="137"/>
      <c r="M168" s="137"/>
      <c r="N168" s="137"/>
      <c r="O168" s="136"/>
      <c r="P168" s="136"/>
      <c r="Q168" s="137"/>
      <c r="R168" s="137"/>
    </row>
    <row r="169" spans="1:18" ht="15.75" x14ac:dyDescent="0.25">
      <c r="A169" s="70"/>
      <c r="B169" s="70"/>
      <c r="C169" s="70"/>
      <c r="D169" s="70"/>
      <c r="E169" s="71"/>
      <c r="F169" s="137"/>
      <c r="G169" s="137"/>
      <c r="H169" s="70"/>
      <c r="I169" s="70"/>
      <c r="J169" s="72"/>
      <c r="K169" s="137"/>
      <c r="L169" s="137"/>
      <c r="M169" s="137"/>
      <c r="N169" s="137"/>
      <c r="O169" s="136"/>
      <c r="P169" s="136"/>
      <c r="Q169" s="137"/>
      <c r="R169" s="137"/>
    </row>
    <row r="170" spans="1:18" ht="15.75" x14ac:dyDescent="0.25">
      <c r="A170" s="70"/>
      <c r="B170" s="70"/>
      <c r="C170" s="70"/>
      <c r="D170" s="70"/>
      <c r="E170" s="71"/>
      <c r="F170" s="137"/>
      <c r="G170" s="137"/>
      <c r="H170" s="70"/>
      <c r="I170" s="70"/>
      <c r="J170" s="72"/>
      <c r="K170" s="137"/>
      <c r="L170" s="137"/>
      <c r="M170" s="137"/>
      <c r="N170" s="137"/>
      <c r="O170" s="136"/>
      <c r="P170" s="136"/>
      <c r="Q170" s="137"/>
      <c r="R170" s="137"/>
    </row>
    <row r="171" spans="1:18" ht="15.75" x14ac:dyDescent="0.25">
      <c r="A171" s="70"/>
      <c r="B171" s="70"/>
      <c r="C171" s="70"/>
      <c r="D171" s="70"/>
      <c r="E171" s="71"/>
      <c r="F171" s="137"/>
      <c r="G171" s="137"/>
      <c r="H171" s="70"/>
      <c r="I171" s="70"/>
      <c r="J171" s="72"/>
      <c r="K171" s="137"/>
      <c r="L171" s="137"/>
      <c r="M171" s="137"/>
      <c r="N171" s="137"/>
      <c r="O171" s="136"/>
      <c r="P171" s="136"/>
      <c r="Q171" s="137"/>
      <c r="R171" s="137"/>
    </row>
    <row r="172" spans="1:18" ht="15.75" x14ac:dyDescent="0.25">
      <c r="A172" s="70"/>
      <c r="B172" s="70"/>
      <c r="C172" s="70"/>
      <c r="D172" s="70"/>
      <c r="E172" s="71"/>
      <c r="F172" s="129"/>
      <c r="G172" s="129"/>
      <c r="H172" s="70"/>
      <c r="I172" s="70"/>
      <c r="J172" s="72"/>
      <c r="K172" s="129"/>
      <c r="L172" s="129"/>
      <c r="M172" s="129"/>
      <c r="N172" s="129"/>
      <c r="O172" s="128"/>
      <c r="P172" s="128"/>
      <c r="Q172" s="129"/>
      <c r="R172" s="129"/>
    </row>
    <row r="173" spans="1:18" ht="15.75" x14ac:dyDescent="0.25">
      <c r="A173" s="506" t="s">
        <v>208</v>
      </c>
      <c r="B173" s="507"/>
      <c r="C173" s="507"/>
      <c r="D173" s="507"/>
      <c r="E173" s="507"/>
      <c r="F173" s="507"/>
      <c r="G173" s="507"/>
      <c r="H173" s="507"/>
      <c r="I173" s="507"/>
      <c r="J173" s="507"/>
      <c r="K173" s="507"/>
      <c r="L173" s="507"/>
      <c r="M173" s="507"/>
      <c r="N173" s="507"/>
      <c r="O173" s="507"/>
      <c r="P173" s="507"/>
      <c r="Q173" s="507"/>
      <c r="R173" s="508"/>
    </row>
    <row r="174" spans="1:18" ht="15.75" x14ac:dyDescent="0.25">
      <c r="A174" s="138" t="s">
        <v>209</v>
      </c>
      <c r="B174" s="137"/>
      <c r="C174" s="39"/>
      <c r="D174" s="55"/>
      <c r="E174" s="39"/>
      <c r="F174" s="39"/>
      <c r="G174" s="39"/>
      <c r="H174" s="494"/>
      <c r="I174" s="494"/>
      <c r="J174" s="494"/>
      <c r="K174" s="39"/>
      <c r="L174" s="39"/>
      <c r="M174" s="39"/>
      <c r="N174" s="39"/>
      <c r="O174" s="39"/>
      <c r="P174" s="39"/>
      <c r="Q174" s="39"/>
      <c r="R174" s="42"/>
    </row>
    <row r="175" spans="1:18" ht="15.75" x14ac:dyDescent="0.25">
      <c r="A175" s="138" t="s">
        <v>228</v>
      </c>
      <c r="B175" s="493" t="s">
        <v>240</v>
      </c>
      <c r="C175" s="493"/>
      <c r="D175" s="55"/>
      <c r="E175" s="39"/>
      <c r="F175" s="39"/>
      <c r="G175" s="39"/>
      <c r="H175" s="494"/>
      <c r="I175" s="494"/>
      <c r="J175" s="494"/>
      <c r="K175" s="39"/>
      <c r="L175" s="39"/>
      <c r="M175" s="39"/>
      <c r="N175" s="39"/>
      <c r="O175" s="39"/>
      <c r="P175" s="39"/>
      <c r="Q175" s="39"/>
      <c r="R175" s="42"/>
    </row>
    <row r="176" spans="1:18" ht="15.75" x14ac:dyDescent="0.25">
      <c r="A176" s="492" t="s">
        <v>210</v>
      </c>
      <c r="B176" s="493"/>
      <c r="C176" s="137">
        <v>11</v>
      </c>
      <c r="D176" s="56"/>
      <c r="E176" s="39"/>
      <c r="F176" s="39"/>
      <c r="G176" s="39"/>
      <c r="H176" s="494"/>
      <c r="I176" s="494"/>
      <c r="J176" s="494"/>
      <c r="K176" s="39"/>
      <c r="L176" s="39"/>
      <c r="M176" s="39"/>
      <c r="N176" s="39"/>
      <c r="O176" s="39"/>
      <c r="P176" s="39"/>
      <c r="Q176" s="39"/>
      <c r="R176" s="42"/>
    </row>
    <row r="177" spans="1:18" ht="15.75" x14ac:dyDescent="0.25">
      <c r="A177" s="495" t="s">
        <v>211</v>
      </c>
      <c r="B177" s="494"/>
      <c r="C177" s="494"/>
      <c r="D177" s="55"/>
      <c r="E177" s="39"/>
      <c r="F177" s="39"/>
      <c r="G177" s="39"/>
      <c r="H177" s="494"/>
      <c r="I177" s="494"/>
      <c r="J177" s="494"/>
      <c r="K177" s="39"/>
      <c r="L177" s="39"/>
      <c r="M177" s="39"/>
      <c r="N177" s="39"/>
      <c r="O177" s="39"/>
      <c r="P177" s="39"/>
      <c r="Q177" s="39"/>
      <c r="R177" s="42"/>
    </row>
    <row r="178" spans="1:18" ht="15.75" x14ac:dyDescent="0.25">
      <c r="A178" s="496" t="s">
        <v>212</v>
      </c>
      <c r="B178" s="496"/>
      <c r="C178" s="496"/>
      <c r="D178" s="496"/>
      <c r="E178" s="496"/>
      <c r="F178" s="496" t="s">
        <v>213</v>
      </c>
      <c r="G178" s="496"/>
      <c r="H178" s="496"/>
      <c r="I178" s="496"/>
      <c r="J178" s="496"/>
      <c r="K178" s="497" t="s">
        <v>221</v>
      </c>
      <c r="L178" s="497"/>
      <c r="M178" s="497"/>
      <c r="N178" s="497"/>
      <c r="O178" s="498" t="s">
        <v>222</v>
      </c>
      <c r="P178" s="499"/>
      <c r="Q178" s="499"/>
      <c r="R178" s="500"/>
    </row>
    <row r="179" spans="1:18" ht="29.25" customHeight="1" x14ac:dyDescent="0.25">
      <c r="A179" s="139" t="s">
        <v>0</v>
      </c>
      <c r="B179" s="139" t="s">
        <v>1</v>
      </c>
      <c r="C179" s="139" t="s">
        <v>214</v>
      </c>
      <c r="D179" s="57" t="s">
        <v>215</v>
      </c>
      <c r="E179" s="49" t="s">
        <v>216</v>
      </c>
      <c r="F179" s="139" t="s">
        <v>0</v>
      </c>
      <c r="G179" s="49" t="s">
        <v>217</v>
      </c>
      <c r="H179" s="400" t="s">
        <v>218</v>
      </c>
      <c r="I179" s="49" t="s">
        <v>219</v>
      </c>
      <c r="J179" s="49" t="s">
        <v>216</v>
      </c>
      <c r="K179" s="139" t="s">
        <v>0</v>
      </c>
      <c r="L179" s="49" t="s">
        <v>321</v>
      </c>
      <c r="M179" s="49" t="s">
        <v>224</v>
      </c>
      <c r="N179" s="49" t="s">
        <v>216</v>
      </c>
      <c r="O179" s="490"/>
      <c r="P179" s="491"/>
      <c r="Q179" s="491"/>
      <c r="R179" s="501"/>
    </row>
    <row r="180" spans="1:18" ht="15.75" x14ac:dyDescent="0.25">
      <c r="A180" s="50" t="s">
        <v>243</v>
      </c>
      <c r="B180" s="44" t="s">
        <v>175</v>
      </c>
      <c r="C180" s="396">
        <v>1.5</v>
      </c>
      <c r="D180" s="51">
        <f>+'kardex reactivos 3'!G223</f>
        <v>3.1920000000000004E-2</v>
      </c>
      <c r="E180" s="51">
        <f>+C180*D180</f>
        <v>4.7880000000000006E-2</v>
      </c>
      <c r="F180" s="37"/>
      <c r="G180" s="37">
        <v>11</v>
      </c>
      <c r="H180" s="37">
        <f>+'Minutos MOD por exmen '!C38</f>
        <v>0.13333333333333333</v>
      </c>
      <c r="I180" s="100">
        <f>+'tasa MOD '!M7</f>
        <v>7.460887357795225</v>
      </c>
      <c r="J180" s="37">
        <f>+I180*H180</f>
        <v>0.9947849810393633</v>
      </c>
      <c r="K180" s="37"/>
      <c r="L180" s="37">
        <f>+J184</f>
        <v>0.9947849810393633</v>
      </c>
      <c r="M180" s="109">
        <f>+'tasa cif'!G9</f>
        <v>0.76985269116945931</v>
      </c>
      <c r="N180" s="37">
        <f>+M180*L180</f>
        <v>0.76583789478811337</v>
      </c>
      <c r="O180" s="504" t="s">
        <v>225</v>
      </c>
      <c r="P180" s="505"/>
      <c r="Q180" s="35">
        <f>+E184</f>
        <v>7.7429999999999999E-2</v>
      </c>
      <c r="R180" s="38"/>
    </row>
    <row r="181" spans="1:18" ht="15.75" x14ac:dyDescent="0.25">
      <c r="A181" s="50">
        <v>42010</v>
      </c>
      <c r="B181" s="45" t="s">
        <v>241</v>
      </c>
      <c r="C181" s="396">
        <v>1</v>
      </c>
      <c r="D181" s="51">
        <f>+'kardex reactivos 3'!G203</f>
        <v>2.955E-2</v>
      </c>
      <c r="E181" s="51">
        <f>+C181*D181</f>
        <v>2.955E-2</v>
      </c>
      <c r="F181" s="37"/>
      <c r="G181" s="37"/>
      <c r="H181" s="37"/>
      <c r="I181" s="37"/>
      <c r="J181" s="37"/>
      <c r="K181" s="37"/>
      <c r="L181" s="37"/>
      <c r="M181" s="37"/>
      <c r="N181" s="37"/>
      <c r="O181" s="505" t="s">
        <v>226</v>
      </c>
      <c r="P181" s="505"/>
      <c r="Q181">
        <f>+J184</f>
        <v>0.9947849810393633</v>
      </c>
      <c r="R181" s="38"/>
    </row>
    <row r="182" spans="1:18" ht="16.5" thickBot="1" x14ac:dyDescent="0.3">
      <c r="A182" s="50"/>
      <c r="B182" s="45"/>
      <c r="C182" s="47"/>
      <c r="D182" s="51"/>
      <c r="E182" s="51"/>
      <c r="F182" s="37"/>
      <c r="G182" s="37"/>
      <c r="H182" s="37"/>
      <c r="I182" s="37"/>
      <c r="J182" s="37"/>
      <c r="K182" s="37"/>
      <c r="L182" s="37"/>
      <c r="M182" s="37"/>
      <c r="N182" s="37"/>
      <c r="O182" s="43" t="s">
        <v>227</v>
      </c>
      <c r="P182" s="61"/>
      <c r="Q182">
        <f>+N184</f>
        <v>0.76583789478811337</v>
      </c>
      <c r="R182" s="38"/>
    </row>
    <row r="183" spans="1:18" ht="16.5" thickBot="1" x14ac:dyDescent="0.3">
      <c r="A183" s="50"/>
      <c r="B183" s="45"/>
      <c r="C183" s="47"/>
      <c r="D183" s="51"/>
      <c r="E183" s="51"/>
      <c r="F183" s="37"/>
      <c r="G183" s="37"/>
      <c r="H183" s="37"/>
      <c r="I183" s="37"/>
      <c r="J183" s="37"/>
      <c r="K183" s="37"/>
      <c r="L183" s="37"/>
      <c r="M183" s="37"/>
      <c r="N183" s="37"/>
      <c r="O183" s="509"/>
      <c r="P183" s="509"/>
      <c r="Q183" s="112">
        <f>SUM(Q180:Q182)</f>
        <v>1.8380528758274766</v>
      </c>
      <c r="R183" s="38"/>
    </row>
    <row r="184" spans="1:18" ht="15.75" x14ac:dyDescent="0.25">
      <c r="A184" s="489" t="s">
        <v>220</v>
      </c>
      <c r="B184" s="489"/>
      <c r="C184" s="489"/>
      <c r="D184" s="489"/>
      <c r="E184" s="52">
        <f>SUM(E180:E181)</f>
        <v>7.7429999999999999E-2</v>
      </c>
      <c r="F184" s="37"/>
      <c r="G184" s="37"/>
      <c r="H184" s="489" t="s">
        <v>220</v>
      </c>
      <c r="I184" s="489"/>
      <c r="J184" s="53">
        <f>+J180</f>
        <v>0.9947849810393633</v>
      </c>
      <c r="K184" s="37"/>
      <c r="L184" s="37"/>
      <c r="M184" s="37"/>
      <c r="N184" s="37">
        <f>+N180</f>
        <v>0.76583789478811337</v>
      </c>
      <c r="O184" s="490"/>
      <c r="P184" s="491"/>
      <c r="Q184" s="410"/>
      <c r="R184" s="357"/>
    </row>
    <row r="188" spans="1:18" ht="15.75" x14ac:dyDescent="0.25">
      <c r="A188" s="506" t="s">
        <v>208</v>
      </c>
      <c r="B188" s="507"/>
      <c r="C188" s="507"/>
      <c r="D188" s="507"/>
      <c r="E188" s="507"/>
      <c r="F188" s="507"/>
      <c r="G188" s="507"/>
      <c r="H188" s="507"/>
      <c r="I188" s="507"/>
      <c r="J188" s="507"/>
      <c r="K188" s="507"/>
      <c r="L188" s="507"/>
      <c r="M188" s="507"/>
      <c r="N188" s="507"/>
      <c r="O188" s="507"/>
      <c r="P188" s="507"/>
      <c r="Q188" s="507"/>
      <c r="R188" s="508"/>
    </row>
    <row r="189" spans="1:18" ht="15.75" x14ac:dyDescent="0.25">
      <c r="A189" s="138" t="s">
        <v>209</v>
      </c>
      <c r="B189" s="137"/>
      <c r="C189" s="39"/>
      <c r="D189" s="55"/>
      <c r="E189" s="39"/>
      <c r="F189" s="39"/>
      <c r="G189" s="39"/>
      <c r="H189" s="494"/>
      <c r="I189" s="494"/>
      <c r="J189" s="494"/>
      <c r="K189" s="39"/>
      <c r="L189" s="39"/>
      <c r="M189" s="39"/>
      <c r="N189" s="39"/>
      <c r="O189" s="39"/>
      <c r="P189" s="39"/>
      <c r="Q189" s="39"/>
      <c r="R189" s="42"/>
    </row>
    <row r="190" spans="1:18" ht="15.75" x14ac:dyDescent="0.25">
      <c r="A190" s="138" t="s">
        <v>228</v>
      </c>
      <c r="B190" s="493" t="s">
        <v>237</v>
      </c>
      <c r="C190" s="493"/>
      <c r="D190" s="55"/>
      <c r="E190" s="39"/>
      <c r="F190" s="39"/>
      <c r="G190" s="39"/>
      <c r="H190" s="494"/>
      <c r="I190" s="494"/>
      <c r="J190" s="494"/>
      <c r="K190" s="39"/>
      <c r="L190" s="39"/>
      <c r="M190" s="39"/>
      <c r="N190" s="39"/>
      <c r="O190" s="39"/>
      <c r="P190" s="39"/>
      <c r="Q190" s="39"/>
      <c r="R190" s="42"/>
    </row>
    <row r="191" spans="1:18" ht="15.75" x14ac:dyDescent="0.25">
      <c r="A191" s="492" t="s">
        <v>210</v>
      </c>
      <c r="B191" s="493"/>
      <c r="C191" s="137">
        <v>12</v>
      </c>
      <c r="D191" s="56"/>
      <c r="E191" s="39"/>
      <c r="F191" s="39"/>
      <c r="G191" s="39"/>
      <c r="H191" s="494"/>
      <c r="I191" s="494"/>
      <c r="J191" s="494"/>
      <c r="K191" s="39"/>
      <c r="L191" s="39"/>
      <c r="M191" s="39"/>
      <c r="N191" s="39"/>
      <c r="O191" s="39"/>
      <c r="P191" s="39"/>
      <c r="Q191" s="39"/>
      <c r="R191" s="42"/>
    </row>
    <row r="192" spans="1:18" ht="15.75" x14ac:dyDescent="0.25">
      <c r="A192" s="495" t="s">
        <v>211</v>
      </c>
      <c r="B192" s="494"/>
      <c r="C192" s="494"/>
      <c r="D192" s="55"/>
      <c r="E192" s="39"/>
      <c r="F192" s="39"/>
      <c r="G192" s="39"/>
      <c r="H192" s="494"/>
      <c r="I192" s="494"/>
      <c r="J192" s="494"/>
      <c r="K192" s="39"/>
      <c r="L192" s="39"/>
      <c r="M192" s="39"/>
      <c r="N192" s="39"/>
      <c r="O192" s="39"/>
      <c r="P192" s="39"/>
      <c r="Q192" s="39"/>
      <c r="R192" s="42"/>
    </row>
    <row r="193" spans="1:18" ht="15.75" x14ac:dyDescent="0.25">
      <c r="A193" s="496" t="s">
        <v>212</v>
      </c>
      <c r="B193" s="496"/>
      <c r="C193" s="496"/>
      <c r="D193" s="496"/>
      <c r="E193" s="496"/>
      <c r="F193" s="496" t="s">
        <v>213</v>
      </c>
      <c r="G193" s="496"/>
      <c r="H193" s="496"/>
      <c r="I193" s="496"/>
      <c r="J193" s="496"/>
      <c r="K193" s="497" t="s">
        <v>221</v>
      </c>
      <c r="L193" s="497"/>
      <c r="M193" s="497"/>
      <c r="N193" s="497"/>
      <c r="O193" s="496" t="s">
        <v>222</v>
      </c>
      <c r="P193" s="496"/>
      <c r="Q193" s="496"/>
      <c r="R193" s="496"/>
    </row>
    <row r="194" spans="1:18" ht="31.5" x14ac:dyDescent="0.25">
      <c r="A194" s="139" t="s">
        <v>0</v>
      </c>
      <c r="B194" s="139" t="s">
        <v>1</v>
      </c>
      <c r="C194" s="139" t="s">
        <v>214</v>
      </c>
      <c r="D194" s="57" t="s">
        <v>215</v>
      </c>
      <c r="E194" s="49" t="s">
        <v>216</v>
      </c>
      <c r="F194" s="139" t="s">
        <v>0</v>
      </c>
      <c r="G194" s="49" t="s">
        <v>217</v>
      </c>
      <c r="H194" s="139" t="s">
        <v>218</v>
      </c>
      <c r="I194" s="49" t="s">
        <v>219</v>
      </c>
      <c r="J194" s="49" t="s">
        <v>216</v>
      </c>
      <c r="K194" s="139" t="s">
        <v>0</v>
      </c>
      <c r="L194" s="49" t="s">
        <v>333</v>
      </c>
      <c r="M194" s="49" t="s">
        <v>224</v>
      </c>
      <c r="N194" s="49" t="s">
        <v>216</v>
      </c>
      <c r="O194" s="496"/>
      <c r="P194" s="496"/>
      <c r="Q194" s="496"/>
      <c r="R194" s="496"/>
    </row>
    <row r="195" spans="1:18" ht="15.75" x14ac:dyDescent="0.25">
      <c r="A195" s="50">
        <v>42289</v>
      </c>
      <c r="B195" s="44" t="s">
        <v>136</v>
      </c>
      <c r="C195" s="396">
        <v>1</v>
      </c>
      <c r="D195" s="51">
        <f>+'kardex reactivos 2'!G265</f>
        <v>4.4999999999999998E-2</v>
      </c>
      <c r="E195" s="51">
        <f>+C195*D195</f>
        <v>4.4999999999999998E-2</v>
      </c>
      <c r="F195" s="37"/>
      <c r="G195" s="37">
        <v>7</v>
      </c>
      <c r="H195" s="37">
        <f>+'Minutos MOD por exmen '!C39</f>
        <v>0.25</v>
      </c>
      <c r="I195" s="100">
        <f>+'tasa MOD '!M7</f>
        <v>7.460887357795225</v>
      </c>
      <c r="J195" s="37">
        <f>+I195*H195</f>
        <v>1.8652218394488063</v>
      </c>
      <c r="K195" s="37"/>
      <c r="L195" s="37">
        <f>+J203</f>
        <v>1.8652218394488063</v>
      </c>
      <c r="M195" s="109">
        <f>+'tasa cif'!G9</f>
        <v>0.76985269116945931</v>
      </c>
      <c r="N195" s="375">
        <f>+M195*L195</f>
        <v>1.4359460527277126</v>
      </c>
      <c r="O195" s="502" t="s">
        <v>225</v>
      </c>
      <c r="P195" s="503"/>
      <c r="Q195" s="277">
        <f>+E203</f>
        <v>0.36320666666666668</v>
      </c>
      <c r="R195" s="278"/>
    </row>
    <row r="196" spans="1:18" ht="15.75" x14ac:dyDescent="0.25">
      <c r="A196" s="50">
        <v>42289</v>
      </c>
      <c r="B196" s="45" t="s">
        <v>138</v>
      </c>
      <c r="C196" s="396">
        <v>1</v>
      </c>
      <c r="D196" s="51">
        <f>+'kardex reactivos 2'!G279</f>
        <v>6.2E-2</v>
      </c>
      <c r="E196" s="51">
        <f>+C196*D196</f>
        <v>6.2E-2</v>
      </c>
      <c r="F196" s="37"/>
      <c r="G196" s="37"/>
      <c r="H196" s="37"/>
      <c r="I196" s="37"/>
      <c r="J196" s="37"/>
      <c r="K196" s="37"/>
      <c r="L196" s="37"/>
      <c r="M196" s="37"/>
      <c r="N196" s="375"/>
      <c r="O196" s="504" t="s">
        <v>226</v>
      </c>
      <c r="P196" s="505"/>
      <c r="Q196" s="55">
        <f>+J203</f>
        <v>1.8652218394488063</v>
      </c>
      <c r="R196" s="233"/>
    </row>
    <row r="197" spans="1:18" ht="15.75" x14ac:dyDescent="0.25">
      <c r="A197" s="50">
        <v>42289</v>
      </c>
      <c r="B197" s="46" t="s">
        <v>139</v>
      </c>
      <c r="C197" s="396">
        <v>1</v>
      </c>
      <c r="D197" s="51">
        <f>+'kardex reactivos 2'!G298</f>
        <v>4.931E-2</v>
      </c>
      <c r="E197" s="51">
        <f>+C197*D197</f>
        <v>4.931E-2</v>
      </c>
      <c r="F197" s="37"/>
      <c r="G197" s="37"/>
      <c r="H197" s="37"/>
      <c r="I197" s="37"/>
      <c r="J197" s="37"/>
      <c r="K197" s="37"/>
      <c r="L197" s="37"/>
      <c r="M197" s="37"/>
      <c r="N197" s="375"/>
      <c r="O197" s="279" t="s">
        <v>227</v>
      </c>
      <c r="P197" s="397"/>
      <c r="Q197" s="55">
        <f>+N203</f>
        <v>1.4359460527277126</v>
      </c>
      <c r="R197" s="233"/>
    </row>
    <row r="198" spans="1:18" ht="16.5" thickBot="1" x14ac:dyDescent="0.3">
      <c r="A198" s="50">
        <v>42289</v>
      </c>
      <c r="B198" s="44" t="s">
        <v>140</v>
      </c>
      <c r="C198" s="396">
        <v>1</v>
      </c>
      <c r="D198" s="51">
        <f>+'kardex reactivos 2'!G311</f>
        <v>6.5000000000000002E-2</v>
      </c>
      <c r="E198" s="51">
        <f>+C198*D198</f>
        <v>6.5000000000000002E-2</v>
      </c>
      <c r="F198" s="37"/>
      <c r="G198" s="37"/>
      <c r="H198" s="37"/>
      <c r="I198" s="37"/>
      <c r="J198" s="37"/>
      <c r="K198" s="37"/>
      <c r="L198" s="37"/>
      <c r="M198" s="37"/>
      <c r="N198" s="375"/>
      <c r="O198" s="487" t="s">
        <v>220</v>
      </c>
      <c r="P198" s="488"/>
      <c r="Q198" s="356">
        <f>SUM(Q195:Q197)</f>
        <v>3.6643745588431855</v>
      </c>
      <c r="R198" s="233"/>
    </row>
    <row r="199" spans="1:18" ht="16.5" thickTop="1" x14ac:dyDescent="0.25">
      <c r="A199" s="50">
        <v>42289</v>
      </c>
      <c r="B199" s="44" t="s">
        <v>141</v>
      </c>
      <c r="C199" s="396">
        <v>1</v>
      </c>
      <c r="D199" s="51">
        <f>+'kardex reactivos 2'!G325</f>
        <v>3.9E-2</v>
      </c>
      <c r="E199" s="51">
        <f t="shared" ref="E199:E202" si="9">+C199*D199</f>
        <v>3.9E-2</v>
      </c>
      <c r="F199" s="37"/>
      <c r="G199" s="37"/>
      <c r="H199" s="37"/>
      <c r="I199" s="37"/>
      <c r="J199" s="37"/>
      <c r="K199" s="37"/>
      <c r="L199" s="37"/>
      <c r="M199" s="37"/>
      <c r="N199" s="375"/>
      <c r="O199" s="398"/>
      <c r="P199" s="397"/>
      <c r="Q199" s="39"/>
      <c r="R199" s="233"/>
    </row>
    <row r="200" spans="1:18" ht="15.75" x14ac:dyDescent="0.25">
      <c r="A200" s="50">
        <v>42289</v>
      </c>
      <c r="B200" s="46" t="s">
        <v>142</v>
      </c>
      <c r="C200" s="396">
        <v>1</v>
      </c>
      <c r="D200" s="51">
        <f>+'kardex reactivos 2'!G340</f>
        <v>5.4999999999999993E-2</v>
      </c>
      <c r="E200" s="51">
        <f t="shared" si="9"/>
        <v>5.4999999999999993E-2</v>
      </c>
      <c r="F200" s="37"/>
      <c r="G200" s="37"/>
      <c r="H200" s="37"/>
      <c r="I200" s="37"/>
      <c r="J200" s="37"/>
      <c r="K200" s="37"/>
      <c r="L200" s="37"/>
      <c r="M200" s="37"/>
      <c r="N200" s="375"/>
      <c r="O200" s="398"/>
      <c r="P200" s="397"/>
      <c r="Q200" s="39"/>
      <c r="R200" s="233"/>
    </row>
    <row r="201" spans="1:18" ht="15.75" x14ac:dyDescent="0.25">
      <c r="A201" s="50">
        <v>42289</v>
      </c>
      <c r="B201" s="46" t="s">
        <v>143</v>
      </c>
      <c r="C201" s="396">
        <v>1</v>
      </c>
      <c r="D201" s="51">
        <f>+'kardex reactivos 2'!H355</f>
        <v>3.735999999999999E-2</v>
      </c>
      <c r="E201" s="51">
        <f t="shared" si="9"/>
        <v>3.735999999999999E-2</v>
      </c>
      <c r="F201" s="37"/>
      <c r="G201" s="37"/>
      <c r="H201" s="37"/>
      <c r="I201" s="37"/>
      <c r="J201" s="37"/>
      <c r="K201" s="37"/>
      <c r="L201" s="37"/>
      <c r="M201" s="37"/>
      <c r="N201" s="375"/>
      <c r="O201" s="398"/>
      <c r="P201" s="397"/>
      <c r="Q201" s="39"/>
      <c r="R201" s="233"/>
    </row>
    <row r="202" spans="1:18" ht="15.75" x14ac:dyDescent="0.25">
      <c r="A202" s="50">
        <v>42289</v>
      </c>
      <c r="B202" s="46" t="s">
        <v>238</v>
      </c>
      <c r="C202" s="396">
        <v>0.5</v>
      </c>
      <c r="D202" s="51">
        <f>+'kardex reactivos 1'!H270</f>
        <v>2.1073333333333333E-2</v>
      </c>
      <c r="E202" s="51">
        <f t="shared" si="9"/>
        <v>1.0536666666666666E-2</v>
      </c>
      <c r="F202" s="37"/>
      <c r="G202" s="37"/>
      <c r="H202" s="37"/>
      <c r="I202" s="37"/>
      <c r="J202" s="37"/>
      <c r="K202" s="37"/>
      <c r="L202" s="37"/>
      <c r="M202" s="37"/>
      <c r="N202" s="375"/>
      <c r="O202" s="398"/>
      <c r="P202" s="397"/>
      <c r="Q202" s="39"/>
      <c r="R202" s="233"/>
    </row>
    <row r="203" spans="1:18" ht="15.75" x14ac:dyDescent="0.25">
      <c r="A203" s="489" t="s">
        <v>220</v>
      </c>
      <c r="B203" s="489"/>
      <c r="C203" s="489"/>
      <c r="D203" s="489"/>
      <c r="E203" s="52">
        <f>SUM(E195:E202)</f>
        <v>0.36320666666666668</v>
      </c>
      <c r="F203" s="37"/>
      <c r="G203" s="37"/>
      <c r="H203" s="489" t="s">
        <v>220</v>
      </c>
      <c r="I203" s="489"/>
      <c r="J203" s="53">
        <f>+J195</f>
        <v>1.8652218394488063</v>
      </c>
      <c r="K203" s="37"/>
      <c r="L203" s="37"/>
      <c r="M203" s="37"/>
      <c r="N203" s="375">
        <f>+N195</f>
        <v>1.4359460527277126</v>
      </c>
      <c r="O203" s="490"/>
      <c r="P203" s="491"/>
      <c r="Q203" s="399"/>
      <c r="R203" s="280"/>
    </row>
    <row r="207" spans="1:18" ht="15.75" x14ac:dyDescent="0.25">
      <c r="A207" s="506" t="s">
        <v>208</v>
      </c>
      <c r="B207" s="507"/>
      <c r="C207" s="507"/>
      <c r="D207" s="507"/>
      <c r="E207" s="507"/>
      <c r="F207" s="507"/>
      <c r="G207" s="507"/>
      <c r="H207" s="507"/>
      <c r="I207" s="507"/>
      <c r="J207" s="507"/>
      <c r="K207" s="507"/>
      <c r="L207" s="507"/>
      <c r="M207" s="507"/>
      <c r="N207" s="507"/>
      <c r="O207" s="507"/>
      <c r="P207" s="507"/>
      <c r="Q207" s="507"/>
      <c r="R207" s="508"/>
    </row>
    <row r="208" spans="1:18" ht="15.75" x14ac:dyDescent="0.25">
      <c r="A208" s="138" t="s">
        <v>209</v>
      </c>
      <c r="B208" s="137"/>
      <c r="C208" s="39"/>
      <c r="D208" s="55"/>
      <c r="E208" s="39"/>
      <c r="F208" s="39"/>
      <c r="G208" s="39"/>
      <c r="H208" s="494"/>
      <c r="I208" s="494"/>
      <c r="J208" s="494"/>
      <c r="K208" s="39"/>
      <c r="L208" s="39"/>
      <c r="M208" s="39"/>
      <c r="N208" s="39"/>
      <c r="O208" s="39"/>
      <c r="P208" s="39"/>
      <c r="Q208" s="39"/>
      <c r="R208" s="42"/>
    </row>
    <row r="209" spans="1:18" ht="15.75" x14ac:dyDescent="0.25">
      <c r="A209" s="138" t="s">
        <v>228</v>
      </c>
      <c r="B209" s="493" t="s">
        <v>244</v>
      </c>
      <c r="C209" s="493"/>
      <c r="D209" s="55"/>
      <c r="E209" s="39"/>
      <c r="F209" s="39"/>
      <c r="G209" s="39"/>
      <c r="H209" s="494"/>
      <c r="I209" s="494"/>
      <c r="J209" s="494"/>
      <c r="K209" s="39"/>
      <c r="L209" s="39"/>
      <c r="M209" s="39"/>
      <c r="N209" s="39"/>
      <c r="O209" s="39"/>
      <c r="P209" s="39"/>
      <c r="Q209" s="39"/>
      <c r="R209" s="42"/>
    </row>
    <row r="210" spans="1:18" ht="15.75" x14ac:dyDescent="0.25">
      <c r="A210" s="492" t="s">
        <v>210</v>
      </c>
      <c r="B210" s="493"/>
      <c r="C210" s="137">
        <v>13</v>
      </c>
      <c r="D210" s="56"/>
      <c r="E210" s="39"/>
      <c r="F210" s="39"/>
      <c r="G210" s="39"/>
      <c r="H210" s="494"/>
      <c r="I210" s="494"/>
      <c r="J210" s="494"/>
      <c r="K210" s="39"/>
      <c r="L210" s="39"/>
      <c r="M210" s="39"/>
      <c r="N210" s="39"/>
      <c r="O210" s="39"/>
      <c r="P210" s="39"/>
      <c r="Q210" s="39"/>
      <c r="R210" s="42"/>
    </row>
    <row r="211" spans="1:18" ht="15.75" x14ac:dyDescent="0.25">
      <c r="A211" s="495" t="s">
        <v>211</v>
      </c>
      <c r="B211" s="494"/>
      <c r="C211" s="494"/>
      <c r="D211" s="55"/>
      <c r="E211" s="39"/>
      <c r="F211" s="39"/>
      <c r="G211" s="39"/>
      <c r="H211" s="494"/>
      <c r="I211" s="494"/>
      <c r="J211" s="494"/>
      <c r="K211" s="39"/>
      <c r="L211" s="39"/>
      <c r="M211" s="39"/>
      <c r="N211" s="39"/>
      <c r="O211" s="39"/>
      <c r="P211" s="39"/>
      <c r="Q211" s="39"/>
      <c r="R211" s="42"/>
    </row>
    <row r="212" spans="1:18" ht="15.75" x14ac:dyDescent="0.25">
      <c r="A212" s="496" t="s">
        <v>212</v>
      </c>
      <c r="B212" s="496"/>
      <c r="C212" s="496"/>
      <c r="D212" s="496"/>
      <c r="E212" s="496"/>
      <c r="F212" s="496" t="s">
        <v>213</v>
      </c>
      <c r="G212" s="496"/>
      <c r="H212" s="496"/>
      <c r="I212" s="496"/>
      <c r="J212" s="496"/>
      <c r="K212" s="497" t="s">
        <v>221</v>
      </c>
      <c r="L212" s="497"/>
      <c r="M212" s="497"/>
      <c r="N212" s="497"/>
      <c r="O212" s="498" t="s">
        <v>222</v>
      </c>
      <c r="P212" s="499"/>
      <c r="Q212" s="499"/>
      <c r="R212" s="500"/>
    </row>
    <row r="213" spans="1:18" ht="31.5" x14ac:dyDescent="0.25">
      <c r="A213" s="139" t="s">
        <v>0</v>
      </c>
      <c r="B213" s="139" t="s">
        <v>1</v>
      </c>
      <c r="C213" s="139" t="s">
        <v>214</v>
      </c>
      <c r="D213" s="57" t="s">
        <v>215</v>
      </c>
      <c r="E213" s="49" t="s">
        <v>216</v>
      </c>
      <c r="F213" s="139" t="s">
        <v>0</v>
      </c>
      <c r="G213" s="49" t="s">
        <v>217</v>
      </c>
      <c r="H213" s="400" t="s">
        <v>218</v>
      </c>
      <c r="I213" s="49" t="s">
        <v>219</v>
      </c>
      <c r="J213" s="49" t="s">
        <v>216</v>
      </c>
      <c r="K213" s="139" t="s">
        <v>0</v>
      </c>
      <c r="L213" s="49" t="s">
        <v>321</v>
      </c>
      <c r="M213" s="49" t="s">
        <v>224</v>
      </c>
      <c r="N213" s="49" t="s">
        <v>216</v>
      </c>
      <c r="O213" s="490"/>
      <c r="P213" s="491"/>
      <c r="Q213" s="491"/>
      <c r="R213" s="501"/>
    </row>
    <row r="214" spans="1:18" ht="15.75" x14ac:dyDescent="0.25">
      <c r="A214" s="50">
        <v>42278</v>
      </c>
      <c r="B214" s="14" t="s">
        <v>145</v>
      </c>
      <c r="C214" s="37">
        <v>1</v>
      </c>
      <c r="D214" s="51">
        <f>+'kardex reactivos 2'!G373</f>
        <v>5.1999999999999991E-2</v>
      </c>
      <c r="E214" s="51">
        <f>+C214*D214</f>
        <v>5.1999999999999991E-2</v>
      </c>
      <c r="F214" s="37"/>
      <c r="G214" s="37"/>
      <c r="H214" s="37">
        <f>+'Minutos MOD por exmen '!C37</f>
        <v>8.3333333333333329E-2</v>
      </c>
      <c r="I214" s="100">
        <f>+'tasa MOD '!M7</f>
        <v>7.460887357795225</v>
      </c>
      <c r="J214" s="37">
        <f>+I214*H214</f>
        <v>0.62174061314960205</v>
      </c>
      <c r="K214" s="37"/>
      <c r="L214" s="37">
        <f>+J218</f>
        <v>0.62174061314960205</v>
      </c>
      <c r="M214" s="109">
        <f>+'tasa cif'!G9</f>
        <v>0.76985269116945931</v>
      </c>
      <c r="N214" s="37">
        <f>+L214*M214</f>
        <v>0.47864868424257084</v>
      </c>
      <c r="O214" s="502" t="s">
        <v>225</v>
      </c>
      <c r="P214" s="503"/>
      <c r="Q214" s="277">
        <f>+E218</f>
        <v>5.1999999999999991E-2</v>
      </c>
      <c r="R214" s="278"/>
    </row>
    <row r="215" spans="1:18" ht="15.75" x14ac:dyDescent="0.25">
      <c r="A215" s="50"/>
      <c r="B215" s="54"/>
      <c r="C215" s="37"/>
      <c r="D215" s="51"/>
      <c r="E215" s="51">
        <f t="shared" ref="E215:E217" si="10">+C215*D215</f>
        <v>0</v>
      </c>
      <c r="F215" s="37"/>
      <c r="G215" s="37"/>
      <c r="H215" s="37"/>
      <c r="I215" s="37"/>
      <c r="J215" s="37"/>
      <c r="K215" s="37"/>
      <c r="L215" s="37"/>
      <c r="M215" s="37"/>
      <c r="N215" s="37"/>
      <c r="O215" s="487" t="s">
        <v>226</v>
      </c>
      <c r="P215" s="488"/>
      <c r="Q215" s="39">
        <f>+J218</f>
        <v>0.62174061314960205</v>
      </c>
      <c r="R215" s="233"/>
    </row>
    <row r="216" spans="1:18" ht="15.75" x14ac:dyDescent="0.25">
      <c r="A216" s="50"/>
      <c r="B216" s="37"/>
      <c r="C216" s="37"/>
      <c r="D216" s="51"/>
      <c r="E216" s="51">
        <f t="shared" si="10"/>
        <v>0</v>
      </c>
      <c r="F216" s="37"/>
      <c r="G216" s="37"/>
      <c r="H216" s="37"/>
      <c r="I216" s="37"/>
      <c r="J216" s="37"/>
      <c r="K216" s="37"/>
      <c r="L216" s="37"/>
      <c r="M216" s="37"/>
      <c r="N216" s="37"/>
      <c r="O216" s="279" t="s">
        <v>227</v>
      </c>
      <c r="P216" s="397"/>
      <c r="Q216" s="39">
        <f>+N218</f>
        <v>0.47864868424257084</v>
      </c>
      <c r="R216" s="233"/>
    </row>
    <row r="217" spans="1:18" ht="16.5" thickBot="1" x14ac:dyDescent="0.3">
      <c r="A217" s="50"/>
      <c r="B217" s="37"/>
      <c r="C217" s="37"/>
      <c r="D217" s="51"/>
      <c r="E217" s="51">
        <f t="shared" si="10"/>
        <v>0</v>
      </c>
      <c r="F217" s="37"/>
      <c r="G217" s="37"/>
      <c r="H217" s="37"/>
      <c r="I217" s="37"/>
      <c r="J217" s="37"/>
      <c r="K217" s="37"/>
      <c r="L217" s="37"/>
      <c r="M217" s="37"/>
      <c r="N217" s="37"/>
      <c r="O217" s="398"/>
      <c r="P217" s="397"/>
      <c r="Q217" s="356">
        <f>SUM(Q214:Q216)</f>
        <v>1.1523892973921728</v>
      </c>
      <c r="R217" s="233"/>
    </row>
    <row r="218" spans="1:18" ht="16.5" thickTop="1" x14ac:dyDescent="0.25">
      <c r="A218" s="489" t="s">
        <v>220</v>
      </c>
      <c r="B218" s="489"/>
      <c r="C218" s="489"/>
      <c r="D218" s="489"/>
      <c r="E218" s="52">
        <f>SUM(E214:E217)</f>
        <v>5.1999999999999991E-2</v>
      </c>
      <c r="F218" s="37"/>
      <c r="G218" s="37"/>
      <c r="H218" s="489" t="s">
        <v>220</v>
      </c>
      <c r="I218" s="489"/>
      <c r="J218" s="53">
        <f>+J214</f>
        <v>0.62174061314960205</v>
      </c>
      <c r="K218" s="37"/>
      <c r="L218" s="37"/>
      <c r="M218" s="37"/>
      <c r="N218" s="37">
        <f>+N214</f>
        <v>0.47864868424257084</v>
      </c>
      <c r="O218" s="490"/>
      <c r="P218" s="491"/>
      <c r="Q218" s="399"/>
      <c r="R218" s="280"/>
    </row>
    <row r="221" spans="1:18" ht="15.75" x14ac:dyDescent="0.25">
      <c r="A221" s="506" t="s">
        <v>208</v>
      </c>
      <c r="B221" s="507"/>
      <c r="C221" s="507"/>
      <c r="D221" s="507"/>
      <c r="E221" s="507"/>
      <c r="F221" s="507"/>
      <c r="G221" s="507"/>
      <c r="H221" s="507"/>
      <c r="I221" s="507"/>
      <c r="J221" s="507"/>
      <c r="K221" s="507"/>
      <c r="L221" s="507"/>
      <c r="M221" s="507"/>
      <c r="N221" s="507"/>
      <c r="O221" s="507"/>
      <c r="P221" s="507"/>
      <c r="Q221" s="507"/>
      <c r="R221" s="508"/>
    </row>
    <row r="222" spans="1:18" ht="15.75" x14ac:dyDescent="0.25">
      <c r="A222" s="147" t="s">
        <v>209</v>
      </c>
      <c r="B222" s="145"/>
      <c r="C222" s="39"/>
      <c r="D222" s="55"/>
      <c r="E222" s="39"/>
      <c r="F222" s="39"/>
      <c r="G222" s="39"/>
      <c r="H222" s="494"/>
      <c r="I222" s="494"/>
      <c r="J222" s="494"/>
      <c r="K222" s="39"/>
      <c r="L222" s="39"/>
      <c r="M222" s="39"/>
      <c r="N222" s="39"/>
      <c r="O222" s="39"/>
      <c r="P222" s="39"/>
      <c r="Q222" s="39"/>
      <c r="R222" s="42"/>
    </row>
    <row r="223" spans="1:18" ht="15.75" x14ac:dyDescent="0.25">
      <c r="A223" s="147" t="s">
        <v>228</v>
      </c>
      <c r="B223" s="493" t="s">
        <v>231</v>
      </c>
      <c r="C223" s="493"/>
      <c r="D223" s="55"/>
      <c r="E223" s="39"/>
      <c r="F223" s="39"/>
      <c r="G223" s="39"/>
      <c r="H223" s="494"/>
      <c r="I223" s="494"/>
      <c r="J223" s="494"/>
      <c r="K223" s="39"/>
      <c r="L223" s="39"/>
      <c r="M223" s="39"/>
      <c r="N223" s="39"/>
      <c r="O223" s="39"/>
      <c r="P223" s="39"/>
      <c r="Q223" s="39"/>
      <c r="R223" s="42"/>
    </row>
    <row r="224" spans="1:18" ht="15.75" x14ac:dyDescent="0.25">
      <c r="A224" s="492" t="s">
        <v>210</v>
      </c>
      <c r="B224" s="493"/>
      <c r="C224" s="145">
        <v>14</v>
      </c>
      <c r="D224" s="56"/>
      <c r="E224" s="39"/>
      <c r="F224" s="39"/>
      <c r="G224" s="39"/>
      <c r="H224" s="494"/>
      <c r="I224" s="494"/>
      <c r="J224" s="494"/>
      <c r="K224" s="39"/>
      <c r="L224" s="39"/>
      <c r="M224" s="39"/>
      <c r="N224" s="39"/>
      <c r="O224" s="39"/>
      <c r="P224" s="39"/>
      <c r="Q224" s="39"/>
      <c r="R224" s="42"/>
    </row>
    <row r="225" spans="1:18" ht="15.75" x14ac:dyDescent="0.25">
      <c r="A225" s="495" t="s">
        <v>211</v>
      </c>
      <c r="B225" s="494"/>
      <c r="C225" s="494"/>
      <c r="D225" s="55"/>
      <c r="E225" s="39"/>
      <c r="F225" s="39"/>
      <c r="G225" s="39"/>
      <c r="H225" s="494"/>
      <c r="I225" s="494"/>
      <c r="J225" s="494"/>
      <c r="K225" s="39"/>
      <c r="L225" s="39"/>
      <c r="M225" s="39"/>
      <c r="N225" s="39"/>
      <c r="O225" s="39"/>
      <c r="P225" s="39"/>
      <c r="Q225" s="39"/>
      <c r="R225" s="42"/>
    </row>
    <row r="226" spans="1:18" ht="15.75" x14ac:dyDescent="0.25">
      <c r="A226" s="496" t="s">
        <v>212</v>
      </c>
      <c r="B226" s="496"/>
      <c r="C226" s="496"/>
      <c r="D226" s="496"/>
      <c r="E226" s="496"/>
      <c r="F226" s="496" t="s">
        <v>213</v>
      </c>
      <c r="G226" s="496"/>
      <c r="H226" s="496"/>
      <c r="I226" s="496"/>
      <c r="J226" s="496"/>
      <c r="K226" s="497" t="s">
        <v>221</v>
      </c>
      <c r="L226" s="497"/>
      <c r="M226" s="497"/>
      <c r="N226" s="497"/>
      <c r="O226" s="498" t="s">
        <v>222</v>
      </c>
      <c r="P226" s="499"/>
      <c r="Q226" s="499"/>
      <c r="R226" s="500"/>
    </row>
    <row r="227" spans="1:18" ht="31.5" x14ac:dyDescent="0.25">
      <c r="A227" s="146" t="s">
        <v>0</v>
      </c>
      <c r="B227" s="146" t="s">
        <v>1</v>
      </c>
      <c r="C227" s="146" t="s">
        <v>214</v>
      </c>
      <c r="D227" s="57" t="s">
        <v>215</v>
      </c>
      <c r="E227" s="49" t="s">
        <v>216</v>
      </c>
      <c r="F227" s="146" t="s">
        <v>0</v>
      </c>
      <c r="G227" s="49" t="s">
        <v>217</v>
      </c>
      <c r="H227" s="146" t="s">
        <v>218</v>
      </c>
      <c r="I227" s="49" t="s">
        <v>219</v>
      </c>
      <c r="J227" s="49" t="s">
        <v>216</v>
      </c>
      <c r="K227" s="146" t="s">
        <v>0</v>
      </c>
      <c r="L227" s="49" t="s">
        <v>321</v>
      </c>
      <c r="M227" s="49" t="s">
        <v>224</v>
      </c>
      <c r="N227" s="49" t="s">
        <v>216</v>
      </c>
      <c r="O227" s="490"/>
      <c r="P227" s="491"/>
      <c r="Q227" s="491"/>
      <c r="R227" s="501"/>
    </row>
    <row r="228" spans="1:18" ht="15.75" x14ac:dyDescent="0.25">
      <c r="A228" s="50">
        <v>42010</v>
      </c>
      <c r="B228" s="44" t="s">
        <v>232</v>
      </c>
      <c r="C228" s="396">
        <v>3</v>
      </c>
      <c r="D228" s="51">
        <f>+'kardex reactivos 3'!G294</f>
        <v>4.4999999999999998E-2</v>
      </c>
      <c r="E228" s="51">
        <f>+C228*D228</f>
        <v>0.13500000000000001</v>
      </c>
      <c r="F228" s="37"/>
      <c r="G228" s="37">
        <v>14</v>
      </c>
      <c r="H228" s="37">
        <f>+'Minutos MOD por exmen '!C40</f>
        <v>0.2</v>
      </c>
      <c r="I228" s="100">
        <f>+'tasa MOD '!M7</f>
        <v>7.460887357795225</v>
      </c>
      <c r="J228" s="37">
        <f>+I228*H228</f>
        <v>1.492177471559045</v>
      </c>
      <c r="K228" s="37"/>
      <c r="L228" s="37">
        <f>+J237</f>
        <v>1.492177471559045</v>
      </c>
      <c r="M228" s="109">
        <f>+'tasa cif'!G9</f>
        <v>0.76985269116945931</v>
      </c>
      <c r="N228" s="37">
        <f>+L228*M228</f>
        <v>1.1487568421821701</v>
      </c>
      <c r="O228" s="505" t="s">
        <v>225</v>
      </c>
      <c r="P228" s="505"/>
      <c r="Q228" s="35">
        <f>+E237</f>
        <v>0.62652333333333332</v>
      </c>
      <c r="R228" s="38"/>
    </row>
    <row r="229" spans="1:18" ht="15.75" x14ac:dyDescent="0.25">
      <c r="A229" s="50">
        <v>42010</v>
      </c>
      <c r="B229" s="45" t="s">
        <v>233</v>
      </c>
      <c r="C229" s="396">
        <v>1</v>
      </c>
      <c r="D229" s="51">
        <f>+'kardex reactivos 1'!G326</f>
        <v>5.3399999999999996E-2</v>
      </c>
      <c r="E229" s="51">
        <f>+C229*D229</f>
        <v>5.3399999999999996E-2</v>
      </c>
      <c r="F229" s="37"/>
      <c r="G229" s="37"/>
      <c r="H229" s="37"/>
      <c r="I229" s="37"/>
      <c r="J229" s="37"/>
      <c r="K229" s="37"/>
      <c r="L229" s="37"/>
      <c r="M229" s="37"/>
      <c r="N229" s="37"/>
      <c r="O229" s="505" t="s">
        <v>226</v>
      </c>
      <c r="P229" s="505"/>
      <c r="Q229">
        <f>+J237</f>
        <v>1.492177471559045</v>
      </c>
      <c r="R229" s="38"/>
    </row>
    <row r="230" spans="1:18" ht="15.75" x14ac:dyDescent="0.25">
      <c r="A230" s="50">
        <v>42010</v>
      </c>
      <c r="B230" s="46" t="s">
        <v>234</v>
      </c>
      <c r="C230" s="396">
        <v>1</v>
      </c>
      <c r="D230" s="51">
        <f>+'kardex reactivos 1'!G348</f>
        <v>3.4979999999999997E-2</v>
      </c>
      <c r="E230" s="51">
        <f>+C230*D230</f>
        <v>3.4979999999999997E-2</v>
      </c>
      <c r="F230" s="37"/>
      <c r="G230" s="37"/>
      <c r="H230" s="37"/>
      <c r="I230" s="37"/>
      <c r="J230" s="37"/>
      <c r="K230" s="37"/>
      <c r="L230" s="37"/>
      <c r="M230" s="37"/>
      <c r="N230" s="37"/>
      <c r="O230" s="43" t="s">
        <v>227</v>
      </c>
      <c r="P230" s="144"/>
      <c r="Q230">
        <f>+N237</f>
        <v>1.1487568421821701</v>
      </c>
      <c r="R230" s="38"/>
    </row>
    <row r="231" spans="1:18" ht="16.5" thickBot="1" x14ac:dyDescent="0.3">
      <c r="A231" s="50">
        <v>42010</v>
      </c>
      <c r="B231" s="44" t="s">
        <v>98</v>
      </c>
      <c r="C231" s="396">
        <v>1</v>
      </c>
      <c r="D231" s="51">
        <f>+'kardex reactivos 1'!G370</f>
        <v>2.886E-2</v>
      </c>
      <c r="E231" s="51">
        <f>+C231*D231</f>
        <v>2.886E-2</v>
      </c>
      <c r="F231" s="37"/>
      <c r="G231" s="37"/>
      <c r="H231" s="37"/>
      <c r="I231" s="37"/>
      <c r="J231" s="37"/>
      <c r="K231" s="37"/>
      <c r="L231" s="37"/>
      <c r="M231" s="37"/>
      <c r="N231" s="37"/>
      <c r="O231" s="144"/>
      <c r="P231" s="144"/>
      <c r="Q231" s="356">
        <f>SUM(Q228:Q230)</f>
        <v>3.267457647074548</v>
      </c>
      <c r="R231" s="38"/>
    </row>
    <row r="232" spans="1:18" ht="16.5" thickTop="1" x14ac:dyDescent="0.25">
      <c r="A232" s="50">
        <v>42010</v>
      </c>
      <c r="B232" s="44" t="s">
        <v>99</v>
      </c>
      <c r="C232" s="396">
        <v>1.5</v>
      </c>
      <c r="D232" s="51">
        <f>+'kardex reactivos 1'!G395</f>
        <v>3.7999999999999999E-2</v>
      </c>
      <c r="E232" s="51">
        <f t="shared" ref="E232:E236" si="11">+C232*D232</f>
        <v>5.6999999999999995E-2</v>
      </c>
      <c r="F232" s="37"/>
      <c r="G232" s="37"/>
      <c r="H232" s="37"/>
      <c r="I232" s="37"/>
      <c r="J232" s="37"/>
      <c r="K232" s="37"/>
      <c r="L232" s="37"/>
      <c r="M232" s="37"/>
      <c r="N232" s="37"/>
      <c r="O232" s="144"/>
      <c r="P232" s="144"/>
      <c r="R232" s="38"/>
    </row>
    <row r="233" spans="1:18" ht="15.75" x14ac:dyDescent="0.25">
      <c r="A233" s="50">
        <v>42010</v>
      </c>
      <c r="B233" s="46" t="s">
        <v>100</v>
      </c>
      <c r="C233" s="396">
        <v>2</v>
      </c>
      <c r="D233" s="51">
        <f>+'kardex reactivos 1'!G417</f>
        <v>5.8799999999999998E-2</v>
      </c>
      <c r="E233" s="51">
        <f t="shared" si="11"/>
        <v>0.1176</v>
      </c>
      <c r="F233" s="37"/>
      <c r="G233" s="37"/>
      <c r="H233" s="37"/>
      <c r="I233" s="37"/>
      <c r="J233" s="37"/>
      <c r="K233" s="37"/>
      <c r="L233" s="37"/>
      <c r="M233" s="37"/>
      <c r="N233" s="37"/>
      <c r="O233" s="144"/>
      <c r="P233" s="144"/>
      <c r="R233" s="38"/>
    </row>
    <row r="234" spans="1:18" ht="15.75" x14ac:dyDescent="0.25">
      <c r="A234" s="50">
        <v>42010</v>
      </c>
      <c r="B234" s="46" t="s">
        <v>235</v>
      </c>
      <c r="C234" s="396">
        <v>1</v>
      </c>
      <c r="D234" s="51">
        <f>+'kardex reactivos 1'!G430</f>
        <v>8.2959999999999992E-2</v>
      </c>
      <c r="E234" s="51">
        <f t="shared" si="11"/>
        <v>8.2959999999999992E-2</v>
      </c>
      <c r="F234" s="37"/>
      <c r="G234" s="37"/>
      <c r="H234" s="37"/>
      <c r="I234" s="37"/>
      <c r="J234" s="37"/>
      <c r="K234" s="37"/>
      <c r="L234" s="37"/>
      <c r="M234" s="37"/>
      <c r="N234" s="37"/>
      <c r="O234" s="144"/>
      <c r="P234" s="144"/>
      <c r="R234" s="38"/>
    </row>
    <row r="235" spans="1:18" ht="15.75" x14ac:dyDescent="0.25">
      <c r="A235" s="50">
        <v>42010</v>
      </c>
      <c r="B235" s="46" t="s">
        <v>236</v>
      </c>
      <c r="C235" s="396">
        <v>2.5</v>
      </c>
      <c r="D235" s="51">
        <f>+'kardex reactivos 1'!G452</f>
        <v>3.8259999999999995E-2</v>
      </c>
      <c r="E235" s="51">
        <f t="shared" si="11"/>
        <v>9.5649999999999985E-2</v>
      </c>
      <c r="F235" s="37"/>
      <c r="G235" s="37"/>
      <c r="H235" s="37"/>
      <c r="I235" s="37"/>
      <c r="J235" s="37"/>
      <c r="K235" s="37"/>
      <c r="L235" s="37"/>
      <c r="M235" s="37"/>
      <c r="N235" s="37"/>
      <c r="O235" s="144"/>
      <c r="P235" s="144"/>
      <c r="R235" s="38"/>
    </row>
    <row r="236" spans="1:18" ht="15.75" x14ac:dyDescent="0.25">
      <c r="A236" s="50"/>
      <c r="B236" s="46" t="s">
        <v>93</v>
      </c>
      <c r="C236" s="396">
        <v>0.5</v>
      </c>
      <c r="D236" s="51">
        <f>+'kardex reactivos 1'!G271</f>
        <v>4.2146666666666666E-2</v>
      </c>
      <c r="E236" s="51">
        <f t="shared" si="11"/>
        <v>2.1073333333333333E-2</v>
      </c>
      <c r="F236" s="37"/>
      <c r="G236" s="37"/>
      <c r="H236" s="37"/>
      <c r="I236" s="37"/>
      <c r="J236" s="37"/>
      <c r="K236" s="37"/>
      <c r="L236" s="37"/>
      <c r="M236" s="37"/>
      <c r="N236" s="37"/>
      <c r="O236" s="144"/>
      <c r="P236" s="144"/>
      <c r="Q236" s="39"/>
      <c r="R236" s="38"/>
    </row>
    <row r="237" spans="1:18" ht="15.75" x14ac:dyDescent="0.25">
      <c r="A237" s="489" t="s">
        <v>220</v>
      </c>
      <c r="B237" s="489"/>
      <c r="C237" s="489"/>
      <c r="D237" s="489"/>
      <c r="E237" s="52">
        <f>SUM(E228:E236)</f>
        <v>0.62652333333333332</v>
      </c>
      <c r="F237" s="37"/>
      <c r="G237" s="37"/>
      <c r="H237" s="489" t="s">
        <v>220</v>
      </c>
      <c r="I237" s="489"/>
      <c r="J237" s="53">
        <f>+J228</f>
        <v>1.492177471559045</v>
      </c>
      <c r="K237" s="37"/>
      <c r="L237" s="37"/>
      <c r="M237" s="37"/>
      <c r="N237" s="37">
        <f>+N228</f>
        <v>1.1487568421821701</v>
      </c>
      <c r="O237" s="490"/>
      <c r="P237" s="491"/>
      <c r="Q237" s="399"/>
      <c r="R237" s="357"/>
    </row>
    <row r="241" spans="1:18" ht="15.75" x14ac:dyDescent="0.25">
      <c r="A241" s="506" t="s">
        <v>208</v>
      </c>
      <c r="B241" s="507"/>
      <c r="C241" s="507"/>
      <c r="D241" s="507"/>
      <c r="E241" s="507"/>
      <c r="F241" s="507"/>
      <c r="G241" s="507"/>
      <c r="H241" s="507"/>
      <c r="I241" s="507"/>
      <c r="J241" s="507"/>
      <c r="K241" s="507"/>
      <c r="L241" s="507"/>
      <c r="M241" s="507"/>
      <c r="N241" s="507"/>
      <c r="O241" s="507"/>
      <c r="P241" s="507"/>
      <c r="Q241" s="507"/>
      <c r="R241" s="508"/>
    </row>
    <row r="242" spans="1:18" ht="15.75" x14ac:dyDescent="0.25">
      <c r="A242" s="147" t="s">
        <v>209</v>
      </c>
      <c r="B242" s="145"/>
      <c r="C242" s="39"/>
      <c r="D242" s="55"/>
      <c r="E242" s="39"/>
      <c r="F242" s="39"/>
      <c r="G242" s="39"/>
      <c r="H242" s="494"/>
      <c r="I242" s="494"/>
      <c r="J242" s="494"/>
      <c r="K242" s="39"/>
      <c r="L242" s="39"/>
      <c r="M242" s="39"/>
      <c r="N242" s="39"/>
      <c r="O242" s="39"/>
      <c r="P242" s="39"/>
      <c r="Q242" s="39"/>
      <c r="R242" s="42"/>
    </row>
    <row r="243" spans="1:18" ht="15.75" x14ac:dyDescent="0.25">
      <c r="A243" s="147" t="s">
        <v>228</v>
      </c>
      <c r="B243" s="145" t="s">
        <v>240</v>
      </c>
      <c r="C243" s="145"/>
      <c r="D243" s="55"/>
      <c r="E243" s="39"/>
      <c r="F243" s="39"/>
      <c r="G243" s="39"/>
      <c r="H243" s="494"/>
      <c r="I243" s="494"/>
      <c r="J243" s="494"/>
      <c r="K243" s="39"/>
      <c r="L243" s="39"/>
      <c r="M243" s="39"/>
      <c r="N243" s="39"/>
      <c r="O243" s="39"/>
      <c r="P243" s="39"/>
      <c r="Q243" s="39"/>
      <c r="R243" s="42"/>
    </row>
    <row r="244" spans="1:18" ht="15.75" x14ac:dyDescent="0.25">
      <c r="A244" s="492" t="s">
        <v>210</v>
      </c>
      <c r="B244" s="493"/>
      <c r="C244" s="145">
        <v>15</v>
      </c>
      <c r="D244" s="56"/>
      <c r="E244" s="39"/>
      <c r="F244" s="39"/>
      <c r="G244" s="39"/>
      <c r="H244" s="494"/>
      <c r="I244" s="494"/>
      <c r="J244" s="494"/>
      <c r="K244" s="39"/>
      <c r="L244" s="39"/>
      <c r="M244" s="39"/>
      <c r="N244" s="39"/>
      <c r="O244" s="39"/>
      <c r="P244" s="39"/>
      <c r="Q244" s="39"/>
      <c r="R244" s="42"/>
    </row>
    <row r="245" spans="1:18" ht="15.75" x14ac:dyDescent="0.25">
      <c r="A245" s="495" t="s">
        <v>211</v>
      </c>
      <c r="B245" s="494"/>
      <c r="C245" s="494"/>
      <c r="D245" s="55"/>
      <c r="E245" s="39"/>
      <c r="F245" s="39"/>
      <c r="G245" s="39"/>
      <c r="H245" s="494"/>
      <c r="I245" s="494"/>
      <c r="J245" s="494"/>
      <c r="K245" s="39"/>
      <c r="L245" s="39"/>
      <c r="M245" s="39"/>
      <c r="N245" s="39"/>
      <c r="O245" s="39"/>
      <c r="P245" s="39"/>
      <c r="Q245" s="39"/>
      <c r="R245" s="42"/>
    </row>
    <row r="246" spans="1:18" ht="15.75" x14ac:dyDescent="0.25">
      <c r="A246" s="496" t="s">
        <v>212</v>
      </c>
      <c r="B246" s="496"/>
      <c r="C246" s="496"/>
      <c r="D246" s="496"/>
      <c r="E246" s="496"/>
      <c r="F246" s="496" t="s">
        <v>213</v>
      </c>
      <c r="G246" s="496"/>
      <c r="H246" s="496"/>
      <c r="I246" s="496"/>
      <c r="J246" s="496"/>
      <c r="K246" s="497" t="s">
        <v>221</v>
      </c>
      <c r="L246" s="497"/>
      <c r="M246" s="497"/>
      <c r="N246" s="497"/>
      <c r="O246" s="496" t="s">
        <v>222</v>
      </c>
      <c r="P246" s="496"/>
      <c r="Q246" s="496"/>
      <c r="R246" s="496"/>
    </row>
    <row r="247" spans="1:18" ht="31.5" x14ac:dyDescent="0.25">
      <c r="A247" s="146" t="s">
        <v>0</v>
      </c>
      <c r="B247" s="146" t="s">
        <v>1</v>
      </c>
      <c r="C247" s="146" t="s">
        <v>214</v>
      </c>
      <c r="D247" s="57" t="s">
        <v>215</v>
      </c>
      <c r="E247" s="49" t="s">
        <v>216</v>
      </c>
      <c r="F247" s="146" t="s">
        <v>0</v>
      </c>
      <c r="G247" s="49" t="s">
        <v>217</v>
      </c>
      <c r="H247" s="400" t="s">
        <v>218</v>
      </c>
      <c r="I247" s="49" t="s">
        <v>219</v>
      </c>
      <c r="J247" s="49" t="s">
        <v>216</v>
      </c>
      <c r="K247" s="146" t="s">
        <v>0</v>
      </c>
      <c r="L247" s="49" t="s">
        <v>321</v>
      </c>
      <c r="M247" s="49" t="s">
        <v>224</v>
      </c>
      <c r="N247" s="49" t="s">
        <v>216</v>
      </c>
      <c r="O247" s="496"/>
      <c r="P247" s="496"/>
      <c r="Q247" s="496"/>
      <c r="R247" s="496"/>
    </row>
    <row r="248" spans="1:18" ht="15.75" x14ac:dyDescent="0.25">
      <c r="A248" s="50" t="s">
        <v>243</v>
      </c>
      <c r="B248" s="44" t="s">
        <v>175</v>
      </c>
      <c r="C248" s="396">
        <v>1.5</v>
      </c>
      <c r="D248" s="51">
        <f>+'kardex reactivos 3'!G224</f>
        <v>3.1920000000000004E-2</v>
      </c>
      <c r="E248" s="51">
        <f>+C248*D248</f>
        <v>4.7880000000000006E-2</v>
      </c>
      <c r="F248" s="37"/>
      <c r="G248" s="37">
        <v>15</v>
      </c>
      <c r="H248" s="37">
        <f>+'Minutos MOD por exmen '!C38</f>
        <v>0.13333333333333333</v>
      </c>
      <c r="I248" s="100">
        <f>+'[1]tasa MOD '!$K$7</f>
        <v>10.912443871572533</v>
      </c>
      <c r="J248" s="37">
        <f>+I248*H248</f>
        <v>1.4549925162096711</v>
      </c>
      <c r="K248" s="37"/>
      <c r="L248" s="37">
        <f>+J252</f>
        <v>1.4549925162096711</v>
      </c>
      <c r="M248" s="109">
        <f>+'tasa cif'!G9</f>
        <v>0.76985269116945931</v>
      </c>
      <c r="N248" s="37">
        <f>+L248*M248</f>
        <v>1.1201299042354385</v>
      </c>
      <c r="O248" s="502" t="s">
        <v>225</v>
      </c>
      <c r="P248" s="503"/>
      <c r="Q248" s="277">
        <f>+E252</f>
        <v>7.7429999999999999E-2</v>
      </c>
      <c r="R248" s="278"/>
    </row>
    <row r="249" spans="1:18" ht="15.75" x14ac:dyDescent="0.25">
      <c r="A249" s="50">
        <v>42010</v>
      </c>
      <c r="B249" s="45" t="s">
        <v>241</v>
      </c>
      <c r="C249" s="396">
        <v>1</v>
      </c>
      <c r="D249" s="51">
        <f>+'kardex reactivos 3'!G204</f>
        <v>2.955E-2</v>
      </c>
      <c r="E249" s="51">
        <f>+C249*D249</f>
        <v>2.955E-2</v>
      </c>
      <c r="F249" s="37"/>
      <c r="G249" s="37"/>
      <c r="H249" s="37"/>
      <c r="I249" s="37"/>
      <c r="J249" s="37"/>
      <c r="K249" s="37"/>
      <c r="L249" s="37"/>
      <c r="M249" s="37"/>
      <c r="N249" s="37"/>
      <c r="O249" s="504" t="s">
        <v>226</v>
      </c>
      <c r="P249" s="505"/>
      <c r="Q249" s="39">
        <f>+J252</f>
        <v>1.4549925162096711</v>
      </c>
      <c r="R249" s="233"/>
    </row>
    <row r="250" spans="1:18" ht="15.75" x14ac:dyDescent="0.25">
      <c r="A250" s="50"/>
      <c r="B250" s="45"/>
      <c r="C250" s="47"/>
      <c r="D250" s="51"/>
      <c r="E250" s="51"/>
      <c r="F250" s="37"/>
      <c r="G250" s="37"/>
      <c r="H250" s="37"/>
      <c r="I250" s="37"/>
      <c r="J250" s="37"/>
      <c r="K250" s="37"/>
      <c r="L250" s="37"/>
      <c r="M250" s="37"/>
      <c r="N250" s="37"/>
      <c r="O250" s="279" t="s">
        <v>227</v>
      </c>
      <c r="P250" s="397"/>
      <c r="Q250" s="39">
        <f>+N252</f>
        <v>1.1201299042354385</v>
      </c>
      <c r="R250" s="233"/>
    </row>
    <row r="251" spans="1:18" ht="16.5" thickBot="1" x14ac:dyDescent="0.3">
      <c r="A251" s="50"/>
      <c r="B251" s="45"/>
      <c r="C251" s="47"/>
      <c r="D251" s="51"/>
      <c r="E251" s="51"/>
      <c r="F251" s="37"/>
      <c r="G251" s="37"/>
      <c r="H251" s="37"/>
      <c r="I251" s="37"/>
      <c r="J251" s="37"/>
      <c r="K251" s="37"/>
      <c r="L251" s="37"/>
      <c r="M251" s="37"/>
      <c r="N251" s="37"/>
      <c r="O251" s="518"/>
      <c r="P251" s="509"/>
      <c r="Q251" s="377">
        <f>SUM(Q248:Q250)</f>
        <v>2.6525524204451094</v>
      </c>
      <c r="R251" s="233"/>
    </row>
    <row r="252" spans="1:18" ht="16.5" thickTop="1" x14ac:dyDescent="0.25">
      <c r="A252" s="489" t="s">
        <v>220</v>
      </c>
      <c r="B252" s="489"/>
      <c r="C252" s="489"/>
      <c r="D252" s="489"/>
      <c r="E252" s="52">
        <f>SUM(E248:E249)</f>
        <v>7.7429999999999999E-2</v>
      </c>
      <c r="F252" s="37"/>
      <c r="G252" s="37"/>
      <c r="H252" s="489" t="s">
        <v>220</v>
      </c>
      <c r="I252" s="489"/>
      <c r="J252" s="53">
        <f>+J248</f>
        <v>1.4549925162096711</v>
      </c>
      <c r="K252" s="37"/>
      <c r="L252" s="37"/>
      <c r="M252" s="37"/>
      <c r="N252" s="37">
        <f>+N248</f>
        <v>1.1201299042354385</v>
      </c>
      <c r="O252" s="490"/>
      <c r="P252" s="491"/>
      <c r="Q252" s="399"/>
      <c r="R252" s="280"/>
    </row>
    <row r="256" spans="1:18" x14ac:dyDescent="0.25">
      <c r="N256" t="s">
        <v>505</v>
      </c>
      <c r="Q256" s="35">
        <f>+Q251+Q231+Q217+Q198+Q183+Q165+Q143+Q130+Q111+Q97+Q77+Q59+Q42+Q28+Q14</f>
        <v>43.361154479488789</v>
      </c>
    </row>
    <row r="259" spans="13:14" x14ac:dyDescent="0.25">
      <c r="M259" t="s">
        <v>506</v>
      </c>
      <c r="N259" s="35">
        <f>+N252+N237+N218+N203+N184+N166+N149+N130+N116+N97+N81+N64+N46+N28+N15</f>
        <v>17.202725694785823</v>
      </c>
    </row>
  </sheetData>
  <mergeCells count="261">
    <mergeCell ref="O54:R55"/>
    <mergeCell ref="O72:R73"/>
    <mergeCell ref="O193:R194"/>
    <mergeCell ref="O106:R107"/>
    <mergeCell ref="O249:P249"/>
    <mergeCell ref="O251:P251"/>
    <mergeCell ref="A252:D252"/>
    <mergeCell ref="H252:I252"/>
    <mergeCell ref="O252:P252"/>
    <mergeCell ref="A244:B244"/>
    <mergeCell ref="H244:J244"/>
    <mergeCell ref="A245:C245"/>
    <mergeCell ref="H245:J245"/>
    <mergeCell ref="A246:E246"/>
    <mergeCell ref="F246:J246"/>
    <mergeCell ref="K246:N246"/>
    <mergeCell ref="O246:R247"/>
    <mergeCell ref="O248:P248"/>
    <mergeCell ref="A241:R241"/>
    <mergeCell ref="H242:J242"/>
    <mergeCell ref="H243:J243"/>
    <mergeCell ref="A221:R221"/>
    <mergeCell ref="H222:J222"/>
    <mergeCell ref="B223:C223"/>
    <mergeCell ref="H223:J223"/>
    <mergeCell ref="A224:B224"/>
    <mergeCell ref="H224:J224"/>
    <mergeCell ref="A225:C225"/>
    <mergeCell ref="H225:J225"/>
    <mergeCell ref="A226:E226"/>
    <mergeCell ref="F226:J226"/>
    <mergeCell ref="K226:N226"/>
    <mergeCell ref="O226:R227"/>
    <mergeCell ref="K138:N138"/>
    <mergeCell ref="O228:P228"/>
    <mergeCell ref="O229:P229"/>
    <mergeCell ref="A237:D237"/>
    <mergeCell ref="H237:I237"/>
    <mergeCell ref="O237:P237"/>
    <mergeCell ref="O180:P180"/>
    <mergeCell ref="O181:P181"/>
    <mergeCell ref="O162:P162"/>
    <mergeCell ref="O138:R139"/>
    <mergeCell ref="A155:R155"/>
    <mergeCell ref="H156:J156"/>
    <mergeCell ref="B157:C157"/>
    <mergeCell ref="H157:J157"/>
    <mergeCell ref="A158:B158"/>
    <mergeCell ref="H158:J158"/>
    <mergeCell ref="A159:C159"/>
    <mergeCell ref="H159:J159"/>
    <mergeCell ref="A160:E160"/>
    <mergeCell ref="F160:J160"/>
    <mergeCell ref="K160:N160"/>
    <mergeCell ref="O160:R161"/>
    <mergeCell ref="A188:R188"/>
    <mergeCell ref="H189:J189"/>
    <mergeCell ref="K125:N125"/>
    <mergeCell ref="O163:P163"/>
    <mergeCell ref="A166:D166"/>
    <mergeCell ref="H166:I166"/>
    <mergeCell ref="O166:P166"/>
    <mergeCell ref="O125:R126"/>
    <mergeCell ref="O127:P127"/>
    <mergeCell ref="O128:P128"/>
    <mergeCell ref="A130:D130"/>
    <mergeCell ref="H130:I130"/>
    <mergeCell ref="O130:P130"/>
    <mergeCell ref="O140:P140"/>
    <mergeCell ref="O141:P141"/>
    <mergeCell ref="A149:D149"/>
    <mergeCell ref="A133:R133"/>
    <mergeCell ref="H134:J134"/>
    <mergeCell ref="B135:C135"/>
    <mergeCell ref="H135:J135"/>
    <mergeCell ref="A136:B136"/>
    <mergeCell ref="H136:J136"/>
    <mergeCell ref="A137:C137"/>
    <mergeCell ref="H137:J137"/>
    <mergeCell ref="A138:E138"/>
    <mergeCell ref="F138:J138"/>
    <mergeCell ref="H121:J121"/>
    <mergeCell ref="B122:C122"/>
    <mergeCell ref="H122:J122"/>
    <mergeCell ref="A123:B123"/>
    <mergeCell ref="H123:J123"/>
    <mergeCell ref="A124:C124"/>
    <mergeCell ref="H124:J124"/>
    <mergeCell ref="A125:E125"/>
    <mergeCell ref="F125:J125"/>
    <mergeCell ref="O74:P74"/>
    <mergeCell ref="O75:P75"/>
    <mergeCell ref="A81:D81"/>
    <mergeCell ref="H81:I81"/>
    <mergeCell ref="O81:P81"/>
    <mergeCell ref="O77:P77"/>
    <mergeCell ref="O108:P108"/>
    <mergeCell ref="B89:C89"/>
    <mergeCell ref="H89:J89"/>
    <mergeCell ref="A90:B90"/>
    <mergeCell ref="H90:J90"/>
    <mergeCell ref="A91:C91"/>
    <mergeCell ref="H91:J91"/>
    <mergeCell ref="A92:E92"/>
    <mergeCell ref="F92:J92"/>
    <mergeCell ref="K92:N92"/>
    <mergeCell ref="O92:R93"/>
    <mergeCell ref="O94:P94"/>
    <mergeCell ref="O95:P95"/>
    <mergeCell ref="A101:R101"/>
    <mergeCell ref="H102:J102"/>
    <mergeCell ref="B103:C103"/>
    <mergeCell ref="H103:J103"/>
    <mergeCell ref="A97:D97"/>
    <mergeCell ref="B69:C69"/>
    <mergeCell ref="H69:J69"/>
    <mergeCell ref="A70:B70"/>
    <mergeCell ref="H70:J70"/>
    <mergeCell ref="O59:P59"/>
    <mergeCell ref="A71:C71"/>
    <mergeCell ref="H71:J71"/>
    <mergeCell ref="A72:E72"/>
    <mergeCell ref="F72:J72"/>
    <mergeCell ref="K72:N72"/>
    <mergeCell ref="A3:C3"/>
    <mergeCell ref="H5:J5"/>
    <mergeCell ref="H6:J6"/>
    <mergeCell ref="H7:J7"/>
    <mergeCell ref="A22:C22"/>
    <mergeCell ref="H22:J22"/>
    <mergeCell ref="A23:E23"/>
    <mergeCell ref="F23:J23"/>
    <mergeCell ref="K23:N23"/>
    <mergeCell ref="A4:R4"/>
    <mergeCell ref="A7:B7"/>
    <mergeCell ref="B6:C6"/>
    <mergeCell ref="A18:R18"/>
    <mergeCell ref="H19:J19"/>
    <mergeCell ref="B20:C20"/>
    <mergeCell ref="H20:J20"/>
    <mergeCell ref="A21:B21"/>
    <mergeCell ref="H21:J21"/>
    <mergeCell ref="K9:N9"/>
    <mergeCell ref="O9:R10"/>
    <mergeCell ref="O11:P11"/>
    <mergeCell ref="O12:P12"/>
    <mergeCell ref="O15:P15"/>
    <mergeCell ref="A8:C8"/>
    <mergeCell ref="H8:J8"/>
    <mergeCell ref="A9:E9"/>
    <mergeCell ref="F9:J9"/>
    <mergeCell ref="A15:D15"/>
    <mergeCell ref="H15:I15"/>
    <mergeCell ref="H88:J88"/>
    <mergeCell ref="O23:R24"/>
    <mergeCell ref="O37:R38"/>
    <mergeCell ref="O39:P39"/>
    <mergeCell ref="O40:P40"/>
    <mergeCell ref="A46:D46"/>
    <mergeCell ref="H46:I46"/>
    <mergeCell ref="O46:P46"/>
    <mergeCell ref="A49:R49"/>
    <mergeCell ref="H50:J50"/>
    <mergeCell ref="B51:C51"/>
    <mergeCell ref="H51:J51"/>
    <mergeCell ref="A52:B52"/>
    <mergeCell ref="H52:J52"/>
    <mergeCell ref="A53:C53"/>
    <mergeCell ref="H53:J53"/>
    <mergeCell ref="O25:P25"/>
    <mergeCell ref="O26:P26"/>
    <mergeCell ref="A28:D28"/>
    <mergeCell ref="H28:I28"/>
    <mergeCell ref="O28:P28"/>
    <mergeCell ref="A87:R87"/>
    <mergeCell ref="A32:R32"/>
    <mergeCell ref="H33:J33"/>
    <mergeCell ref="B34:C34"/>
    <mergeCell ref="H34:J34"/>
    <mergeCell ref="A35:B35"/>
    <mergeCell ref="H35:J35"/>
    <mergeCell ref="A36:C36"/>
    <mergeCell ref="H36:J36"/>
    <mergeCell ref="A37:E37"/>
    <mergeCell ref="F37:J37"/>
    <mergeCell ref="K37:N37"/>
    <mergeCell ref="A54:E54"/>
    <mergeCell ref="F54:J54"/>
    <mergeCell ref="K54:N54"/>
    <mergeCell ref="O56:P56"/>
    <mergeCell ref="O57:P57"/>
    <mergeCell ref="A64:D64"/>
    <mergeCell ref="H64:I64"/>
    <mergeCell ref="O64:P64"/>
    <mergeCell ref="A67:R67"/>
    <mergeCell ref="H68:J68"/>
    <mergeCell ref="H97:I97"/>
    <mergeCell ref="O97:P97"/>
    <mergeCell ref="A104:B104"/>
    <mergeCell ref="H104:J104"/>
    <mergeCell ref="A105:C105"/>
    <mergeCell ref="H105:J105"/>
    <mergeCell ref="A106:E106"/>
    <mergeCell ref="F106:J106"/>
    <mergeCell ref="K106:N106"/>
    <mergeCell ref="O109:P109"/>
    <mergeCell ref="A184:D184"/>
    <mergeCell ref="H184:I184"/>
    <mergeCell ref="O184:P184"/>
    <mergeCell ref="O183:P183"/>
    <mergeCell ref="H149:I149"/>
    <mergeCell ref="O149:P149"/>
    <mergeCell ref="A173:R173"/>
    <mergeCell ref="H174:J174"/>
    <mergeCell ref="B175:C175"/>
    <mergeCell ref="H175:J175"/>
    <mergeCell ref="A176:B176"/>
    <mergeCell ref="A177:C177"/>
    <mergeCell ref="A178:E178"/>
    <mergeCell ref="F178:J178"/>
    <mergeCell ref="K178:N178"/>
    <mergeCell ref="O178:R179"/>
    <mergeCell ref="H176:J176"/>
    <mergeCell ref="H177:J177"/>
    <mergeCell ref="O111:P111"/>
    <mergeCell ref="A116:D116"/>
    <mergeCell ref="H116:I116"/>
    <mergeCell ref="O116:P116"/>
    <mergeCell ref="A120:R120"/>
    <mergeCell ref="B190:C190"/>
    <mergeCell ref="H190:J190"/>
    <mergeCell ref="A191:B191"/>
    <mergeCell ref="H191:J191"/>
    <mergeCell ref="A192:C192"/>
    <mergeCell ref="H192:J192"/>
    <mergeCell ref="A193:E193"/>
    <mergeCell ref="F193:J193"/>
    <mergeCell ref="K193:N193"/>
    <mergeCell ref="O195:P195"/>
    <mergeCell ref="O196:P196"/>
    <mergeCell ref="O198:P198"/>
    <mergeCell ref="A203:D203"/>
    <mergeCell ref="H203:I203"/>
    <mergeCell ref="O203:P203"/>
    <mergeCell ref="A207:R207"/>
    <mergeCell ref="H208:J208"/>
    <mergeCell ref="B209:C209"/>
    <mergeCell ref="H209:J209"/>
    <mergeCell ref="O215:P215"/>
    <mergeCell ref="A218:D218"/>
    <mergeCell ref="H218:I218"/>
    <mergeCell ref="O218:P218"/>
    <mergeCell ref="A210:B210"/>
    <mergeCell ref="H210:J210"/>
    <mergeCell ref="A211:C211"/>
    <mergeCell ref="H211:J211"/>
    <mergeCell ref="A212:E212"/>
    <mergeCell ref="F212:J212"/>
    <mergeCell ref="K212:N212"/>
    <mergeCell ref="O212:R213"/>
    <mergeCell ref="O214:P214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7"/>
  <sheetViews>
    <sheetView topLeftCell="A61" workbookViewId="0">
      <selection activeCell="B72" sqref="B72"/>
    </sheetView>
  </sheetViews>
  <sheetFormatPr baseColWidth="10" defaultRowHeight="15" x14ac:dyDescent="0.25"/>
  <cols>
    <col min="1" max="2" width="17.85546875" customWidth="1"/>
    <col min="4" max="5" width="17.140625" customWidth="1"/>
    <col min="7" max="8" width="17.140625" customWidth="1"/>
    <col min="10" max="11" width="17.140625" customWidth="1"/>
  </cols>
  <sheetData>
    <row r="2" spans="1:11" x14ac:dyDescent="0.25">
      <c r="A2" s="521" t="s">
        <v>453</v>
      </c>
      <c r="B2" s="521"/>
      <c r="D2" s="522" t="s">
        <v>454</v>
      </c>
      <c r="E2" s="522"/>
      <c r="G2" s="523" t="s">
        <v>455</v>
      </c>
      <c r="H2" s="523"/>
      <c r="J2" s="524" t="s">
        <v>458</v>
      </c>
      <c r="K2" s="524"/>
    </row>
    <row r="3" spans="1:11" x14ac:dyDescent="0.25">
      <c r="A3" s="35">
        <f>+'Libro diario'!E4</f>
        <v>5.1999999999999998E-2</v>
      </c>
      <c r="B3" s="189">
        <f>+'Libro diario'!F19</f>
        <v>1.152389297392173</v>
      </c>
      <c r="D3" s="35">
        <v>5026.3999999999996</v>
      </c>
      <c r="E3" s="189">
        <f>+'Libro diario'!F6</f>
        <v>5.1999999999999998E-2</v>
      </c>
      <c r="G3" s="35">
        <f>+'Libro diario'!E515</f>
        <v>17.202725694785823</v>
      </c>
      <c r="H3" s="189">
        <f>+'Libro diario'!F512</f>
        <v>17.202725694785823</v>
      </c>
      <c r="J3" s="35"/>
      <c r="K3" s="189">
        <f>+'Libro diario'!F11</f>
        <v>0.129</v>
      </c>
    </row>
    <row r="4" spans="1:11" x14ac:dyDescent="0.25">
      <c r="A4" s="35">
        <f>+'Libro diario'!E34</f>
        <v>7.7429999999999999E-2</v>
      </c>
      <c r="B4" s="187">
        <f>+'Libro diario'!F50</f>
        <v>1.8380528758274766</v>
      </c>
      <c r="E4" s="187">
        <f>+'Libro diario'!F36</f>
        <v>7.7429999999999999E-2</v>
      </c>
      <c r="G4" s="35"/>
      <c r="H4" s="181"/>
      <c r="K4" s="187">
        <f>+'Libro diario'!F42</f>
        <v>0.2374</v>
      </c>
    </row>
    <row r="5" spans="1:11" x14ac:dyDescent="0.25">
      <c r="A5" s="35">
        <f>+'Libro diario'!E58</f>
        <v>0.45873333333333338</v>
      </c>
      <c r="B5" s="187">
        <f>+'Libro diario'!F81</f>
        <v>4.2000569444667217</v>
      </c>
      <c r="E5" s="187">
        <f>+'Libro diario'!F60</f>
        <v>0.45873333333333338</v>
      </c>
      <c r="G5" s="35"/>
      <c r="H5" s="181"/>
      <c r="K5" s="187">
        <f>+'Libro diario'!F71</f>
        <v>0.2162</v>
      </c>
    </row>
    <row r="6" spans="1:11" x14ac:dyDescent="0.25">
      <c r="A6" s="35">
        <f>+'Libro diario'!E103</f>
        <v>0.37374333333333332</v>
      </c>
      <c r="B6" s="187">
        <f>+'Libro diario'!F126</f>
        <v>3.6749112255098524</v>
      </c>
      <c r="E6" s="187">
        <f>+'Libro diario'!F105</f>
        <v>0.37374333333333332</v>
      </c>
      <c r="G6" s="35"/>
      <c r="H6" s="181"/>
      <c r="K6" s="187">
        <f>+'Libro diario'!F117</f>
        <v>0.1915</v>
      </c>
    </row>
    <row r="7" spans="1:11" x14ac:dyDescent="0.25">
      <c r="A7" s="35">
        <f>+'Libro diario'!E134</f>
        <v>0.47275833333333339</v>
      </c>
      <c r="B7" s="187">
        <f>+'Libro diario'!F157</f>
        <v>8.1754834150785456</v>
      </c>
      <c r="E7" s="187">
        <f>+'Libro diario'!F136</f>
        <v>0.47275833333333339</v>
      </c>
      <c r="G7" s="35"/>
      <c r="H7" s="181"/>
      <c r="K7" s="187">
        <f>+'Libro diario'!F147</f>
        <v>0.2162</v>
      </c>
    </row>
    <row r="8" spans="1:11" x14ac:dyDescent="0.25">
      <c r="A8" s="35">
        <f>+'Libro diario'!E169</f>
        <v>5.1999999999999998E-2</v>
      </c>
      <c r="B8" s="187">
        <f>+'Libro diario'!F184</f>
        <v>1.8126228758274765</v>
      </c>
      <c r="E8" s="187">
        <f>+'Libro diario'!F171</f>
        <v>5.1999999999999998E-2</v>
      </c>
      <c r="G8" s="35"/>
      <c r="H8" s="181"/>
      <c r="K8" s="187">
        <f>+'Libro diario'!F176</f>
        <v>0.129</v>
      </c>
    </row>
    <row r="9" spans="1:11" x14ac:dyDescent="0.25">
      <c r="A9" s="35">
        <f>+'Libro diario'!E192</f>
        <v>0.37374333333333332</v>
      </c>
      <c r="B9" s="187">
        <f>+'Libro diario'!F215</f>
        <v>3.6749112255098524</v>
      </c>
      <c r="E9" s="187">
        <f>+'Libro diario'!F194</f>
        <v>0.37374333333333332</v>
      </c>
      <c r="G9" s="35"/>
      <c r="H9" s="181"/>
      <c r="K9" s="187">
        <f>+'Libro diario'!F206</f>
        <v>0.1915</v>
      </c>
    </row>
    <row r="10" spans="1:11" x14ac:dyDescent="0.25">
      <c r="A10" s="35">
        <f>+'Libro diario'!E223</f>
        <v>7.7429999999999999E-2</v>
      </c>
      <c r="B10" s="187">
        <f>+'Libro diario'!F239</f>
        <v>1.8380528758274766</v>
      </c>
      <c r="E10" s="187">
        <f>+'Libro diario'!F225</f>
        <v>7.7429999999999999E-2</v>
      </c>
      <c r="G10" s="35"/>
      <c r="H10" s="181"/>
      <c r="K10" s="187">
        <f>+'Libro diario'!F231</f>
        <v>0.23740000000000003</v>
      </c>
    </row>
    <row r="11" spans="1:11" x14ac:dyDescent="0.25">
      <c r="A11" s="35">
        <f>+'Libro diario'!E247</f>
        <v>0.62652333333333332</v>
      </c>
      <c r="B11" s="187">
        <f>+'Libro diario'!F271</f>
        <v>3.267457647074548</v>
      </c>
      <c r="E11" s="187">
        <f>+'Libro diario'!F249</f>
        <v>0.62652333333333332</v>
      </c>
      <c r="G11" s="35"/>
      <c r="H11" s="181"/>
      <c r="K11" s="187">
        <f>+'Libro diario'!F262</f>
        <v>0.19719999999999999</v>
      </c>
    </row>
    <row r="12" spans="1:11" x14ac:dyDescent="0.25">
      <c r="A12" s="35">
        <f>+'Libro diario'!E279</f>
        <v>5.1999999999999991E-2</v>
      </c>
      <c r="B12" s="187">
        <f>+'Libro diario'!F294</f>
        <v>1.1523892973921728</v>
      </c>
      <c r="E12" s="187">
        <f>+'Libro diario'!F281</f>
        <v>5.1999999999999991E-2</v>
      </c>
      <c r="G12" s="35"/>
      <c r="H12" s="181"/>
      <c r="K12" s="187">
        <f>+'Libro diario'!F286</f>
        <v>0.15900000000000003</v>
      </c>
    </row>
    <row r="13" spans="1:11" x14ac:dyDescent="0.25">
      <c r="A13" s="35">
        <f>+'Libro diario'!E302</f>
        <v>7.7429999999999999E-2</v>
      </c>
      <c r="B13" s="187">
        <f>+'Libro diario'!F318</f>
        <v>1.8380528758274766</v>
      </c>
      <c r="E13" s="187">
        <f>+'Libro diario'!F304</f>
        <v>7.7429999999999999E-2</v>
      </c>
      <c r="G13" s="35"/>
      <c r="H13" s="181"/>
      <c r="K13" s="187">
        <f>+'Libro diario'!F310</f>
        <v>0.23739999999999997</v>
      </c>
    </row>
    <row r="14" spans="1:11" x14ac:dyDescent="0.25">
      <c r="A14" s="35">
        <f>+'Libro diario'!E326</f>
        <v>0.36320666666666668</v>
      </c>
      <c r="B14" s="187">
        <f>+'Libro diario'!F349</f>
        <v>3.6643745588431855</v>
      </c>
      <c r="E14" s="187">
        <f>+'Libro diario'!F328</f>
        <v>0.36320666666666668</v>
      </c>
      <c r="G14" s="35"/>
      <c r="H14" s="181"/>
      <c r="K14" s="187">
        <f>+'Libro diario'!F340</f>
        <v>0.19149999999999998</v>
      </c>
    </row>
    <row r="15" spans="1:11" x14ac:dyDescent="0.25">
      <c r="A15" s="35">
        <f>+'Libro diario'!E357</f>
        <v>5.1999999999999991E-2</v>
      </c>
      <c r="B15" s="187">
        <f>+'Libro diario'!F372</f>
        <v>1.1523892973921728</v>
      </c>
      <c r="E15" s="187">
        <f>+'Libro diario'!F359</f>
        <v>5.1999999999999991E-2</v>
      </c>
      <c r="G15" s="35"/>
      <c r="H15" s="181"/>
      <c r="K15" s="187">
        <f>+'Libro diario'!F364</f>
        <v>0.12900000000000003</v>
      </c>
    </row>
    <row r="16" spans="1:11" x14ac:dyDescent="0.25">
      <c r="A16" s="35">
        <f>+'Libro diario'!E380</f>
        <v>0.62652333333333332</v>
      </c>
      <c r="B16" s="187">
        <f>+'Libro diario'!F404</f>
        <v>3.267457647074548</v>
      </c>
      <c r="E16" s="187">
        <f>+'Libro diario'!F382</f>
        <v>0.62652333333333332</v>
      </c>
      <c r="G16" s="35"/>
      <c r="H16" s="181"/>
      <c r="K16" s="187">
        <f>+'Libro diario'!F395</f>
        <v>0.19719999999999996</v>
      </c>
    </row>
    <row r="17" spans="1:11" x14ac:dyDescent="0.25">
      <c r="A17" s="55">
        <f>+'Libro diario'!E412</f>
        <v>7.7429999999999999E-2</v>
      </c>
      <c r="B17" s="187">
        <f>+'Libro diario'!F428</f>
        <v>2.6525524204451094</v>
      </c>
      <c r="D17" s="219"/>
      <c r="E17" s="213">
        <f>+'Libro diario'!F414</f>
        <v>7.7429999999999999E-2</v>
      </c>
      <c r="F17" s="39"/>
      <c r="G17" s="212"/>
      <c r="H17" s="181"/>
      <c r="K17" s="213">
        <f>+'Libro diario'!F420</f>
        <v>0.2374</v>
      </c>
    </row>
    <row r="18" spans="1:11" x14ac:dyDescent="0.25">
      <c r="A18" s="245">
        <f>+'Libro diario'!E449</f>
        <v>2213.520833333333</v>
      </c>
      <c r="B18" s="187">
        <f>+'Libro diario'!F508</f>
        <v>863.6385196701923</v>
      </c>
      <c r="D18" s="35">
        <f>SUM(D3:D17)</f>
        <v>5026.3999999999996</v>
      </c>
      <c r="E18" s="187">
        <f>SUM(E3:E17)</f>
        <v>3.8129516666666672</v>
      </c>
      <c r="G18" s="35">
        <f>SUM(G3:G17)</f>
        <v>17.202725694785823</v>
      </c>
      <c r="H18" s="181"/>
      <c r="K18" s="187">
        <f>SUM(K3:K17)</f>
        <v>2.8969</v>
      </c>
    </row>
    <row r="19" spans="1:11" x14ac:dyDescent="0.25">
      <c r="A19" s="55">
        <f>+'Libro diario'!E459</f>
        <v>651.16112499999997</v>
      </c>
      <c r="B19" s="187"/>
      <c r="C19" s="39"/>
      <c r="D19" s="35">
        <f>+D18-E18</f>
        <v>5022.5870483333329</v>
      </c>
      <c r="E19" s="181"/>
      <c r="H19" s="181"/>
    </row>
    <row r="20" spans="1:11" x14ac:dyDescent="0.25">
      <c r="A20" s="212">
        <f>+'Libro diario'!E511</f>
        <v>17.202725694785823</v>
      </c>
      <c r="B20" s="214"/>
      <c r="C20" s="39"/>
      <c r="D20" s="35"/>
      <c r="E20" s="39"/>
      <c r="H20" s="39"/>
    </row>
    <row r="21" spans="1:11" x14ac:dyDescent="0.25">
      <c r="A21" s="264">
        <f>SUM(A3:A20)</f>
        <v>2885.6976356947857</v>
      </c>
      <c r="B21" s="265">
        <f>SUM(B3:B19)</f>
        <v>906.99967414968114</v>
      </c>
    </row>
    <row r="22" spans="1:11" x14ac:dyDescent="0.25">
      <c r="A22" s="35">
        <f>+A21-B21</f>
        <v>1978.6979615451046</v>
      </c>
      <c r="B22" s="181"/>
    </row>
    <row r="24" spans="1:11" x14ac:dyDescent="0.25">
      <c r="B24" s="39"/>
      <c r="C24" s="35"/>
      <c r="D24" s="35"/>
    </row>
    <row r="25" spans="1:11" x14ac:dyDescent="0.25">
      <c r="D25" s="216"/>
    </row>
    <row r="26" spans="1:11" x14ac:dyDescent="0.25">
      <c r="A26" s="525" t="s">
        <v>318</v>
      </c>
      <c r="B26" s="525"/>
      <c r="D26" s="526" t="s">
        <v>207</v>
      </c>
      <c r="E26" s="526"/>
      <c r="G26" s="527" t="s">
        <v>324</v>
      </c>
      <c r="H26" s="527"/>
      <c r="J26" s="528" t="s">
        <v>475</v>
      </c>
      <c r="K26" s="528"/>
    </row>
    <row r="27" spans="1:11" x14ac:dyDescent="0.25">
      <c r="A27" s="35">
        <f>+'Libro diario'!E18</f>
        <v>1.152389297392173</v>
      </c>
      <c r="B27" s="189">
        <f>+'Libro diario'!F490</f>
        <v>43.361154479488796</v>
      </c>
      <c r="D27" s="221">
        <v>8730.0499999999993</v>
      </c>
      <c r="E27" s="35">
        <f>+'Libro diario'!F31</f>
        <v>580.70400000000006</v>
      </c>
      <c r="G27" s="35"/>
      <c r="H27" s="189">
        <f>+'Libro diario'!F24</f>
        <v>7.58</v>
      </c>
      <c r="J27" s="55">
        <f>+'Libro diario'!E489</f>
        <v>43.361154479488796</v>
      </c>
      <c r="K27" s="189"/>
    </row>
    <row r="28" spans="1:11" x14ac:dyDescent="0.25">
      <c r="A28" s="35">
        <f>+'Libro diario'!E49</f>
        <v>1.8380528758274766</v>
      </c>
      <c r="B28" s="181"/>
      <c r="D28" s="35">
        <f>+'Libro diario'!E23</f>
        <v>7.58</v>
      </c>
      <c r="E28">
        <f>+'Libro diario'!F92</f>
        <v>82.5</v>
      </c>
      <c r="H28" s="181">
        <f>+'Libro diario'!F55</f>
        <v>3.64</v>
      </c>
    </row>
    <row r="29" spans="1:11" x14ac:dyDescent="0.25">
      <c r="A29" s="35">
        <f>+'Libro diario'!E80</f>
        <v>4.2000569444667217</v>
      </c>
      <c r="B29" s="181"/>
      <c r="D29">
        <f>+'Libro diario'!E54</f>
        <v>3.64</v>
      </c>
      <c r="E29" s="35">
        <f>+'Libro diario'!F100</f>
        <v>161.4864</v>
      </c>
      <c r="H29" s="181">
        <f>+'Libro diario'!F86</f>
        <v>9.33</v>
      </c>
    </row>
    <row r="30" spans="1:11" x14ac:dyDescent="0.25">
      <c r="A30" s="35">
        <f>+'Libro diario'!E125</f>
        <v>3.6749112255098524</v>
      </c>
      <c r="B30" s="181"/>
      <c r="D30">
        <f>+'Libro diario'!E85</f>
        <v>9.33</v>
      </c>
      <c r="E30" s="181">
        <f>+'Libro diario'!F166</f>
        <v>1180</v>
      </c>
      <c r="H30" s="181">
        <f>+'Libro diario'!F131</f>
        <v>9.89</v>
      </c>
    </row>
    <row r="31" spans="1:11" x14ac:dyDescent="0.25">
      <c r="A31" s="35">
        <f>+'Libro diario'!E156</f>
        <v>8.1754834150785456</v>
      </c>
      <c r="B31" s="181"/>
      <c r="D31">
        <f>+'Libro diario'!E130</f>
        <v>9.89</v>
      </c>
      <c r="E31" s="187">
        <f>+'Libro diario'!F445</f>
        <v>1049.50145</v>
      </c>
      <c r="H31" s="181">
        <f>+'Libro diario'!F162</f>
        <v>9.33</v>
      </c>
    </row>
    <row r="32" spans="1:11" x14ac:dyDescent="0.25">
      <c r="A32" s="35">
        <f>+'Libro diario'!E183</f>
        <v>1.8126228758274765</v>
      </c>
      <c r="B32" s="181"/>
      <c r="D32">
        <f>+'Libro diario'!E161</f>
        <v>9.33</v>
      </c>
      <c r="E32" s="187">
        <f>+'Libro diario'!F469</f>
        <v>1109.5713499999999</v>
      </c>
      <c r="H32" s="181">
        <f>+'Libro diario'!F189</f>
        <v>7.58</v>
      </c>
    </row>
    <row r="33" spans="1:11" x14ac:dyDescent="0.25">
      <c r="A33" s="35">
        <f>+'Libro diario'!E214</f>
        <v>3.6749112255098524</v>
      </c>
      <c r="B33" s="181"/>
      <c r="D33">
        <f>+'Libro diario'!E188</f>
        <v>7.58</v>
      </c>
      <c r="E33" s="181"/>
      <c r="H33" s="181">
        <f>+'Libro diario'!F220</f>
        <v>9.89</v>
      </c>
    </row>
    <row r="34" spans="1:11" x14ac:dyDescent="0.25">
      <c r="A34" s="35">
        <f>+'Libro diario'!E238</f>
        <v>1.8380528758274766</v>
      </c>
      <c r="B34" s="181"/>
      <c r="D34">
        <f>+'Libro diario'!E219</f>
        <v>9.89</v>
      </c>
      <c r="E34" s="181"/>
      <c r="H34" s="181">
        <f>+'Libro diario'!F244</f>
        <v>3.64</v>
      </c>
    </row>
    <row r="35" spans="1:11" x14ac:dyDescent="0.25">
      <c r="A35" s="35">
        <f>+'Libro diario'!E270</f>
        <v>3.267457647074548</v>
      </c>
      <c r="B35" s="181"/>
      <c r="D35">
        <f>+'Libro diario'!E243</f>
        <v>3.64</v>
      </c>
      <c r="E35" s="181"/>
      <c r="H35" s="181">
        <f>+'Libro diario'!F276</f>
        <v>14.64</v>
      </c>
    </row>
    <row r="36" spans="1:11" x14ac:dyDescent="0.25">
      <c r="A36" s="35">
        <f>+'Libro diario'!E293</f>
        <v>1.1523892973921728</v>
      </c>
      <c r="B36" s="181"/>
      <c r="D36">
        <f>+'Libro diario'!E275</f>
        <v>14.64</v>
      </c>
      <c r="E36" s="181"/>
      <c r="H36" s="181">
        <f>+'Libro diario'!F299</f>
        <v>7.58</v>
      </c>
    </row>
    <row r="37" spans="1:11" x14ac:dyDescent="0.25">
      <c r="A37" s="35">
        <f>+'Libro diario'!E317</f>
        <v>1.8380528758274766</v>
      </c>
      <c r="B37" s="181"/>
      <c r="D37">
        <f>+'Libro diario'!E298</f>
        <v>7.58</v>
      </c>
      <c r="E37" s="181"/>
      <c r="H37" s="181">
        <f>+'Libro diario'!F323</f>
        <v>3.64</v>
      </c>
    </row>
    <row r="38" spans="1:11" x14ac:dyDescent="0.25">
      <c r="A38" s="35">
        <f>+'Libro diario'!E348</f>
        <v>3.6643745588431855</v>
      </c>
      <c r="B38" s="181"/>
      <c r="D38">
        <f>+'Libro diario'!E322</f>
        <v>3.64</v>
      </c>
      <c r="E38" s="181"/>
      <c r="H38" s="181">
        <f>+'Libro diario'!F354</f>
        <v>9.89</v>
      </c>
    </row>
    <row r="39" spans="1:11" x14ac:dyDescent="0.25">
      <c r="A39" s="35">
        <f>+'Libro diario'!E371</f>
        <v>1.1523892973921728</v>
      </c>
      <c r="B39" s="181"/>
      <c r="D39">
        <f>+'Libro diario'!E353</f>
        <v>9.89</v>
      </c>
      <c r="E39" s="181"/>
      <c r="H39" s="181">
        <f>+'Libro diario'!F377</f>
        <v>7.58</v>
      </c>
    </row>
    <row r="40" spans="1:11" x14ac:dyDescent="0.25">
      <c r="A40" s="35">
        <f>+'Libro diario'!E403</f>
        <v>3.267457647074548</v>
      </c>
      <c r="B40" s="181"/>
      <c r="D40">
        <f>+'Libro diario'!E376</f>
        <v>7.58</v>
      </c>
      <c r="E40" s="181"/>
      <c r="H40" s="181">
        <f>+'Libro diario'!F409</f>
        <v>14.64</v>
      </c>
    </row>
    <row r="41" spans="1:11" x14ac:dyDescent="0.25">
      <c r="A41" s="213">
        <f>+'Libro diario'!E427</f>
        <v>2.6525524204451094</v>
      </c>
      <c r="B41" s="214"/>
      <c r="D41">
        <f>+'Libro diario'!E408</f>
        <v>14.64</v>
      </c>
      <c r="E41" s="181"/>
      <c r="H41" s="214">
        <f>+'Libro diario'!F433</f>
        <v>3.64</v>
      </c>
    </row>
    <row r="42" spans="1:11" x14ac:dyDescent="0.25">
      <c r="A42" s="35">
        <f>SUM(A27:A41)</f>
        <v>43.361154479488796</v>
      </c>
      <c r="B42" s="187">
        <f>SUM(B27:B41)</f>
        <v>43.361154479488796</v>
      </c>
      <c r="D42" s="215">
        <f>+'Libro diario'!E432</f>
        <v>3.64</v>
      </c>
      <c r="E42" s="214"/>
      <c r="H42" s="187">
        <f>SUM(H27:H41)</f>
        <v>122.49000000000001</v>
      </c>
    </row>
    <row r="43" spans="1:11" x14ac:dyDescent="0.25">
      <c r="B43" s="181"/>
      <c r="D43">
        <f>SUM(D27:D42)</f>
        <v>8852.5399999999936</v>
      </c>
      <c r="E43" s="181">
        <f>SUM(E30:E42)</f>
        <v>3339.0727999999999</v>
      </c>
    </row>
    <row r="44" spans="1:11" x14ac:dyDescent="0.25">
      <c r="E44" s="181"/>
    </row>
    <row r="47" spans="1:11" x14ac:dyDescent="0.25">
      <c r="A47" s="520" t="s">
        <v>245</v>
      </c>
      <c r="B47" s="520"/>
      <c r="D47" s="529" t="str">
        <f>+'Libro diario'!B436</f>
        <v xml:space="preserve">Nómina Laboratorio </v>
      </c>
      <c r="E47" s="529"/>
      <c r="G47" s="524" t="str">
        <f>+'Libro diario'!C440</f>
        <v>Aporte IESS 9,45%</v>
      </c>
      <c r="H47" s="524"/>
      <c r="J47" s="530" t="str">
        <f>+'Libro diario'!C441</f>
        <v>Anticipo Sueldos</v>
      </c>
      <c r="K47" s="530"/>
    </row>
    <row r="48" spans="1:11" x14ac:dyDescent="0.25">
      <c r="A48" s="35">
        <f>+'Libro diario'!E10</f>
        <v>0.129</v>
      </c>
      <c r="B48" s="189"/>
      <c r="D48" s="35">
        <f>+'Libro diario'!E436</f>
        <v>3839.2249999999999</v>
      </c>
      <c r="E48" s="187">
        <f>+'Libro diario'!F451</f>
        <v>3839.2249999999995</v>
      </c>
      <c r="H48" s="189">
        <f>+'Libro diario'!F440</f>
        <v>334.89854999999994</v>
      </c>
      <c r="J48" s="35">
        <f>+'Libro diario'!E165</f>
        <v>1180</v>
      </c>
      <c r="K48" s="189">
        <f>+'Libro diario'!F441</f>
        <v>1180</v>
      </c>
    </row>
    <row r="49" spans="1:11" x14ac:dyDescent="0.25">
      <c r="A49" s="35">
        <f>+'Libro diario'!E27</f>
        <v>631.20000000000005</v>
      </c>
      <c r="B49" s="181"/>
      <c r="E49" s="181"/>
      <c r="H49" s="181"/>
      <c r="K49" s="181"/>
    </row>
    <row r="50" spans="1:11" x14ac:dyDescent="0.25">
      <c r="A50" s="35">
        <f>+'Libro diario'!E41</f>
        <v>0.2374</v>
      </c>
      <c r="B50" s="181"/>
      <c r="E50" s="181"/>
      <c r="H50" s="181"/>
      <c r="K50" s="181"/>
    </row>
    <row r="51" spans="1:11" x14ac:dyDescent="0.25">
      <c r="A51" s="35">
        <f>+'Libro diario'!E70</f>
        <v>0.2162</v>
      </c>
      <c r="B51" s="181"/>
      <c r="E51" s="181"/>
    </row>
    <row r="52" spans="1:11" x14ac:dyDescent="0.25">
      <c r="A52">
        <f>+'Libro diario'!E89</f>
        <v>75</v>
      </c>
      <c r="B52" s="181"/>
    </row>
    <row r="53" spans="1:11" x14ac:dyDescent="0.25">
      <c r="A53" s="35">
        <f>+'Libro diario'!E116</f>
        <v>0.1915</v>
      </c>
      <c r="B53" s="181"/>
    </row>
    <row r="54" spans="1:11" x14ac:dyDescent="0.25">
      <c r="A54" s="35">
        <f>+'Libro diario'!E146</f>
        <v>0.2162</v>
      </c>
      <c r="B54" s="181"/>
    </row>
    <row r="55" spans="1:11" x14ac:dyDescent="0.25">
      <c r="A55" s="35">
        <f>+'Libro diario'!E175</f>
        <v>0.129</v>
      </c>
      <c r="B55" s="181"/>
    </row>
    <row r="56" spans="1:11" x14ac:dyDescent="0.25">
      <c r="A56" s="35">
        <f>+'Libro diario'!E205</f>
        <v>0.1915</v>
      </c>
      <c r="B56" s="181"/>
      <c r="D56" s="531" t="s">
        <v>206</v>
      </c>
      <c r="E56" s="531"/>
      <c r="G56" s="531" t="str">
        <f>+'Libro diario'!C91</f>
        <v>2% Imp. Renta  por pagar</v>
      </c>
      <c r="H56" s="531"/>
      <c r="J56" s="531" t="str">
        <f>+'Libro diario'!C29</f>
        <v>8% Retención  Imp. Renta por pagar</v>
      </c>
      <c r="K56" s="531"/>
    </row>
    <row r="57" spans="1:11" x14ac:dyDescent="0.25">
      <c r="A57" s="35">
        <f>+'Libro diario'!E230</f>
        <v>0.23740000000000003</v>
      </c>
      <c r="B57" s="181"/>
      <c r="D57" s="35">
        <f>+'Libro diario'!E28</f>
        <v>75.744</v>
      </c>
      <c r="E57" s="187"/>
      <c r="H57" s="189">
        <f>+'Libro diario'!F91</f>
        <v>1.5</v>
      </c>
      <c r="J57" s="35"/>
      <c r="K57" s="189">
        <f>+'Libro diario'!F29</f>
        <v>50.496000000000002</v>
      </c>
    </row>
    <row r="58" spans="1:11" x14ac:dyDescent="0.25">
      <c r="A58" s="35">
        <f>+'Libro diario'!E261</f>
        <v>0.19719999999999999</v>
      </c>
      <c r="B58" s="181"/>
      <c r="D58">
        <f>+'Libro diario'!E90</f>
        <v>9</v>
      </c>
      <c r="E58" s="181"/>
      <c r="H58" s="181"/>
      <c r="K58" s="181"/>
    </row>
    <row r="59" spans="1:11" x14ac:dyDescent="0.25">
      <c r="A59" s="35">
        <f>+'Libro diario'!E285</f>
        <v>0.15900000000000003</v>
      </c>
      <c r="B59" s="181"/>
      <c r="D59" s="35">
        <f>+'Libro diario'!E99</f>
        <v>4.7664</v>
      </c>
      <c r="E59" s="181"/>
      <c r="H59" s="181"/>
      <c r="K59" s="181"/>
    </row>
    <row r="60" spans="1:11" x14ac:dyDescent="0.25">
      <c r="A60" s="35">
        <f>+'Libro diario'!E309</f>
        <v>0.23739999999999997</v>
      </c>
      <c r="B60" s="181"/>
    </row>
    <row r="61" spans="1:11" x14ac:dyDescent="0.25">
      <c r="A61" s="35">
        <f>+'Libro diario'!E339</f>
        <v>0.19149999999999998</v>
      </c>
      <c r="B61" s="181"/>
    </row>
    <row r="62" spans="1:11" x14ac:dyDescent="0.25">
      <c r="A62" s="35">
        <f>+'Libro diario'!E363</f>
        <v>0.12900000000000003</v>
      </c>
      <c r="B62" s="181"/>
    </row>
    <row r="63" spans="1:11" x14ac:dyDescent="0.25">
      <c r="A63" s="35">
        <f>+'Libro diario'!E394</f>
        <v>0.19719999999999996</v>
      </c>
      <c r="B63" s="181"/>
    </row>
    <row r="64" spans="1:11" x14ac:dyDescent="0.25">
      <c r="A64" s="35">
        <f>+'Libro diario'!E419</f>
        <v>0.2374</v>
      </c>
      <c r="B64" s="181"/>
    </row>
    <row r="65" spans="1:5" x14ac:dyDescent="0.25">
      <c r="A65">
        <f>+'Libro diario'!E95</f>
        <v>156.72</v>
      </c>
      <c r="B65" s="181"/>
      <c r="D65" s="531" t="str">
        <f>+'Libro diario'!C30</f>
        <v>100% Retención IVA  por pagar</v>
      </c>
      <c r="E65" s="531"/>
    </row>
    <row r="66" spans="1:5" x14ac:dyDescent="0.25">
      <c r="A66" s="35">
        <f>+'Libro diario'!E450</f>
        <v>492.91666666666669</v>
      </c>
      <c r="B66" s="181"/>
      <c r="E66" s="189">
        <f>+'Libro diario'!F30</f>
        <v>75.744</v>
      </c>
    </row>
    <row r="67" spans="1:5" x14ac:dyDescent="0.25">
      <c r="A67" s="35">
        <f>+'Libro diario'!E464</f>
        <v>141.6575</v>
      </c>
      <c r="B67" s="181"/>
      <c r="E67" s="181"/>
    </row>
    <row r="68" spans="1:5" x14ac:dyDescent="0.25">
      <c r="A68">
        <f>+'Libro diario'!E472</f>
        <v>1728.75</v>
      </c>
      <c r="B68" s="181"/>
      <c r="E68" s="181"/>
    </row>
    <row r="69" spans="1:5" x14ac:dyDescent="0.25">
      <c r="A69" s="35">
        <f>+'Libro diario'!E507</f>
        <v>863.6385196701923</v>
      </c>
      <c r="B69" s="181"/>
    </row>
    <row r="70" spans="1:5" x14ac:dyDescent="0.25">
      <c r="A70" s="275">
        <f>SUM(A48:A69)</f>
        <v>4092.7795863368588</v>
      </c>
    </row>
    <row r="71" spans="1:5" x14ac:dyDescent="0.25">
      <c r="A71" s="35"/>
    </row>
    <row r="89" spans="1:11" x14ac:dyDescent="0.25">
      <c r="A89" s="527" t="str">
        <f>+'Libro diario'!C442</f>
        <v>Prestamo IESS por pagar</v>
      </c>
      <c r="B89" s="527"/>
      <c r="D89" s="533" t="str">
        <f>+'Libro diario'!C443</f>
        <v>Fondo de reserva por pagar</v>
      </c>
      <c r="E89" s="533"/>
      <c r="G89" s="534" t="str">
        <f>+'Libro diario'!C444</f>
        <v>Uniformes</v>
      </c>
      <c r="H89" s="534"/>
      <c r="J89" s="535" t="str">
        <f>+'Libro diario'!B448</f>
        <v>Gasto Administrativo</v>
      </c>
      <c r="K89" s="535"/>
    </row>
    <row r="90" spans="1:11" x14ac:dyDescent="0.25">
      <c r="B90" s="189">
        <f>+'Libro diario'!F442</f>
        <v>427.5</v>
      </c>
      <c r="E90" s="189">
        <f>+'Libro diario'!F443</f>
        <v>295.32499999999999</v>
      </c>
      <c r="H90" s="189">
        <f>+'Libro diario'!F444</f>
        <v>552</v>
      </c>
      <c r="J90" s="35">
        <f>+'Libro diario'!E448</f>
        <v>1132.7874999999999</v>
      </c>
      <c r="K90" s="189"/>
    </row>
    <row r="91" spans="1:11" x14ac:dyDescent="0.25">
      <c r="B91" s="181"/>
      <c r="E91" s="181"/>
      <c r="H91" s="181"/>
      <c r="J91" s="35">
        <f>+'Libro diario'!E454</f>
        <v>316.75272499999994</v>
      </c>
      <c r="K91" s="181"/>
    </row>
    <row r="92" spans="1:11" x14ac:dyDescent="0.25">
      <c r="B92" s="181"/>
      <c r="E92" s="181"/>
      <c r="H92" s="181"/>
      <c r="K92" s="181"/>
    </row>
    <row r="93" spans="1:11" x14ac:dyDescent="0.25">
      <c r="B93" s="181"/>
      <c r="K93" s="181"/>
    </row>
    <row r="96" spans="1:11" ht="34.5" customHeight="1" x14ac:dyDescent="0.25">
      <c r="A96" s="528" t="str">
        <f>+'Libro diario'!C480</f>
        <v>Depreciación acumulada baño maría</v>
      </c>
      <c r="B96" s="528"/>
      <c r="D96" s="532" t="str">
        <f>+'Libro diario'!C481</f>
        <v>Depreciación acumulada centrifugadora</v>
      </c>
      <c r="E96" s="532"/>
      <c r="G96" s="532" t="str">
        <f>+'Libro diario'!C482</f>
        <v>Depreciación acumulada microscopio</v>
      </c>
      <c r="H96" s="532"/>
      <c r="J96" s="532" t="str">
        <f>+'Libro diario'!C483</f>
        <v xml:space="preserve">Depreciación acumulada equipo quimico sanguineo </v>
      </c>
      <c r="K96" s="532"/>
    </row>
    <row r="97" spans="1:11" x14ac:dyDescent="0.25">
      <c r="B97" s="202">
        <f>+'Libro diario'!F480</f>
        <v>60</v>
      </c>
      <c r="E97" s="202">
        <f>+'Libro diario'!F481</f>
        <v>37.5</v>
      </c>
      <c r="H97" s="202">
        <f>+'Libro diario'!F482</f>
        <v>63.75</v>
      </c>
      <c r="K97" s="202">
        <f>+'Libro diario'!F483</f>
        <v>435</v>
      </c>
    </row>
    <row r="98" spans="1:11" x14ac:dyDescent="0.25">
      <c r="B98" s="181"/>
      <c r="E98" s="181"/>
      <c r="H98" s="181"/>
      <c r="K98" s="181"/>
    </row>
    <row r="99" spans="1:11" x14ac:dyDescent="0.25">
      <c r="B99" s="181"/>
      <c r="E99" s="181"/>
      <c r="H99" s="181"/>
      <c r="K99" s="181"/>
    </row>
    <row r="103" spans="1:11" ht="36.75" customHeight="1" x14ac:dyDescent="0.25">
      <c r="A103" s="532" t="str">
        <f>+'Libro diario'!C484</f>
        <v>Depreciación acumulada equipo de cromatografia</v>
      </c>
      <c r="B103" s="532"/>
      <c r="D103" s="532" t="str">
        <f>+'Libro diario'!C485</f>
        <v>Depreciación acumulada contador hematologico</v>
      </c>
      <c r="E103" s="532"/>
      <c r="G103" s="532" t="str">
        <f>+'Libro diario'!C486</f>
        <v>Depreciación acumulada rotador mezclador</v>
      </c>
      <c r="H103" s="532"/>
      <c r="J103" s="528" t="s">
        <v>503</v>
      </c>
      <c r="K103" s="528"/>
    </row>
    <row r="104" spans="1:11" x14ac:dyDescent="0.25">
      <c r="B104" s="202">
        <f>+'Libro diario'!F484</f>
        <v>360</v>
      </c>
      <c r="E104" s="202">
        <f>+'Libro diario'!F485</f>
        <v>750</v>
      </c>
      <c r="H104" s="202">
        <f>+'Libro diario'!F486</f>
        <v>22.5</v>
      </c>
      <c r="J104" s="35">
        <f>+'Libro diario'!E516</f>
        <v>-17.202725694785823</v>
      </c>
      <c r="K104" s="202"/>
    </row>
    <row r="105" spans="1:11" x14ac:dyDescent="0.25">
      <c r="B105" s="181"/>
      <c r="E105" s="181"/>
      <c r="H105" s="181"/>
      <c r="K105" s="181"/>
    </row>
    <row r="106" spans="1:11" x14ac:dyDescent="0.25">
      <c r="B106" s="181"/>
      <c r="E106" s="181"/>
      <c r="H106" s="181"/>
      <c r="K106" s="181"/>
    </row>
    <row r="107" spans="1:11" x14ac:dyDescent="0.25">
      <c r="E107" s="181"/>
      <c r="H107" s="181"/>
      <c r="K107" s="181"/>
    </row>
  </sheetData>
  <mergeCells count="28">
    <mergeCell ref="D56:E56"/>
    <mergeCell ref="G56:H56"/>
    <mergeCell ref="J56:K56"/>
    <mergeCell ref="D65:E65"/>
    <mergeCell ref="A103:B103"/>
    <mergeCell ref="D103:E103"/>
    <mergeCell ref="G103:H103"/>
    <mergeCell ref="J103:K103"/>
    <mergeCell ref="A89:B89"/>
    <mergeCell ref="D89:E89"/>
    <mergeCell ref="G89:H89"/>
    <mergeCell ref="J89:K89"/>
    <mergeCell ref="A96:B96"/>
    <mergeCell ref="D96:E96"/>
    <mergeCell ref="G96:H96"/>
    <mergeCell ref="J96:K96"/>
    <mergeCell ref="A47:B47"/>
    <mergeCell ref="A2:B2"/>
    <mergeCell ref="D2:E2"/>
    <mergeCell ref="G2:H2"/>
    <mergeCell ref="J2:K2"/>
    <mergeCell ref="A26:B26"/>
    <mergeCell ref="D26:E26"/>
    <mergeCell ref="G26:H26"/>
    <mergeCell ref="J26:K26"/>
    <mergeCell ref="D47:E47"/>
    <mergeCell ref="G47:H47"/>
    <mergeCell ref="J47:K4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55"/>
  <sheetViews>
    <sheetView topLeftCell="A20" zoomScale="70" zoomScaleNormal="70" workbookViewId="0">
      <selection activeCell="C49" sqref="C49:E49"/>
    </sheetView>
  </sheetViews>
  <sheetFormatPr baseColWidth="10" defaultRowHeight="15" x14ac:dyDescent="0.25"/>
  <cols>
    <col min="2" max="2" width="15.5703125" customWidth="1"/>
    <col min="16" max="16" width="17" customWidth="1"/>
  </cols>
  <sheetData>
    <row r="3" spans="1:13" ht="15.75" x14ac:dyDescent="0.25">
      <c r="A3" s="537" t="s">
        <v>267</v>
      </c>
      <c r="B3" s="537"/>
      <c r="C3" s="536" t="s">
        <v>268</v>
      </c>
      <c r="D3" s="536"/>
      <c r="E3" s="536"/>
      <c r="F3" s="536"/>
      <c r="G3" s="536"/>
      <c r="H3" s="536"/>
      <c r="I3" s="536"/>
      <c r="J3" s="536"/>
      <c r="K3" s="536"/>
      <c r="L3" s="536"/>
      <c r="M3" s="536"/>
    </row>
    <row r="4" spans="1:13" ht="15.75" x14ac:dyDescent="0.25">
      <c r="A4" s="13"/>
      <c r="B4" s="543" t="s">
        <v>302</v>
      </c>
      <c r="C4" s="543"/>
      <c r="D4" s="543"/>
      <c r="E4" s="543"/>
      <c r="F4" s="543"/>
      <c r="G4" s="543"/>
      <c r="H4" s="543"/>
      <c r="I4" s="543"/>
      <c r="J4" s="543"/>
      <c r="K4" s="543"/>
      <c r="L4" s="543"/>
      <c r="M4" s="543"/>
    </row>
    <row r="5" spans="1:13" ht="15.75" x14ac:dyDescent="0.25">
      <c r="A5" s="544" t="s">
        <v>252</v>
      </c>
      <c r="B5" s="544"/>
      <c r="C5" s="544"/>
      <c r="D5" s="544"/>
      <c r="E5" s="544"/>
      <c r="F5" s="544"/>
      <c r="G5" s="544"/>
      <c r="H5" s="544"/>
      <c r="I5" s="544"/>
      <c r="J5" s="544"/>
      <c r="K5" s="544"/>
      <c r="L5" s="544"/>
      <c r="M5" s="544"/>
    </row>
    <row r="6" spans="1:13" ht="47.25" x14ac:dyDescent="0.25">
      <c r="A6" s="86" t="s">
        <v>253</v>
      </c>
      <c r="B6" s="87" t="s">
        <v>254</v>
      </c>
      <c r="C6" s="80" t="s">
        <v>280</v>
      </c>
      <c r="D6" s="54" t="s">
        <v>281</v>
      </c>
      <c r="E6" s="80" t="s">
        <v>282</v>
      </c>
      <c r="F6" s="80" t="s">
        <v>283</v>
      </c>
      <c r="G6" s="80" t="s">
        <v>284</v>
      </c>
      <c r="H6" s="80" t="s">
        <v>285</v>
      </c>
      <c r="I6" s="80" t="s">
        <v>286</v>
      </c>
      <c r="J6" s="84" t="s">
        <v>289</v>
      </c>
      <c r="K6" s="85" t="s">
        <v>260</v>
      </c>
      <c r="L6" s="80" t="s">
        <v>287</v>
      </c>
      <c r="M6" s="80" t="s">
        <v>288</v>
      </c>
    </row>
    <row r="7" spans="1:13" ht="31.5" x14ac:dyDescent="0.25">
      <c r="A7" s="74" t="s">
        <v>262</v>
      </c>
      <c r="B7" s="74" t="s">
        <v>263</v>
      </c>
      <c r="C7" s="75">
        <v>500</v>
      </c>
      <c r="D7" s="75">
        <v>100</v>
      </c>
      <c r="E7" s="75">
        <f>(C7+D7)/12</f>
        <v>50</v>
      </c>
      <c r="F7" s="75">
        <f>+C7+D7+E7</f>
        <v>650</v>
      </c>
      <c r="G7" s="75">
        <f>(+C7+D7)*9.45%</f>
        <v>56.699999999999989</v>
      </c>
      <c r="H7" s="75">
        <v>200</v>
      </c>
      <c r="I7" s="75">
        <v>26.12</v>
      </c>
      <c r="J7" s="75">
        <f>+E7</f>
        <v>50</v>
      </c>
      <c r="K7" s="75">
        <v>0</v>
      </c>
      <c r="L7" s="75">
        <f>+G7+H7+I7+J7+K7</f>
        <v>332.82</v>
      </c>
      <c r="M7" s="75">
        <f>+F7-L7</f>
        <v>317.18</v>
      </c>
    </row>
    <row r="8" spans="1:13" ht="31.5" x14ac:dyDescent="0.25">
      <c r="A8" s="74" t="s">
        <v>264</v>
      </c>
      <c r="B8" s="74" t="s">
        <v>265</v>
      </c>
      <c r="C8" s="75">
        <v>373.65</v>
      </c>
      <c r="D8" s="75">
        <v>72</v>
      </c>
      <c r="E8" s="75">
        <f>(C8+D8)/12</f>
        <v>37.137499999999996</v>
      </c>
      <c r="F8" s="75">
        <f>+E8+D8+C8</f>
        <v>482.78749999999997</v>
      </c>
      <c r="G8" s="75">
        <f>(+C8+D8)*9.45%</f>
        <v>42.113924999999995</v>
      </c>
      <c r="H8" s="75">
        <v>140</v>
      </c>
      <c r="I8" s="75">
        <v>0</v>
      </c>
      <c r="J8" s="75">
        <f>+E8</f>
        <v>37.137499999999996</v>
      </c>
      <c r="K8" s="75">
        <v>0</v>
      </c>
      <c r="L8" s="75">
        <f>+G8+H8+I8+J8+K8</f>
        <v>219.25142499999998</v>
      </c>
      <c r="M8" s="75">
        <f>+F8-L8</f>
        <v>263.53607499999998</v>
      </c>
    </row>
    <row r="9" spans="1:13" ht="15.75" x14ac:dyDescent="0.25">
      <c r="A9" s="541" t="s">
        <v>266</v>
      </c>
      <c r="B9" s="542"/>
      <c r="C9" s="156">
        <f>SUM(C7:C8)</f>
        <v>873.65</v>
      </c>
      <c r="D9" s="156">
        <f t="shared" ref="D9:F9" si="0">SUM(D7:D8)</f>
        <v>172</v>
      </c>
      <c r="E9" s="156">
        <f>SUM(E7:E8)</f>
        <v>87.137499999999989</v>
      </c>
      <c r="F9" s="156">
        <f t="shared" si="0"/>
        <v>1132.7874999999999</v>
      </c>
      <c r="G9" s="156">
        <f>SUM(G7:G8)</f>
        <v>98.813924999999983</v>
      </c>
      <c r="H9" s="156">
        <f>SUM(H7:H8)</f>
        <v>340</v>
      </c>
      <c r="I9" s="156">
        <f>SUM(I7:I8)</f>
        <v>26.12</v>
      </c>
      <c r="J9" s="156">
        <f>SUM(J7:J8)</f>
        <v>87.137499999999989</v>
      </c>
      <c r="K9" s="156">
        <v>0</v>
      </c>
      <c r="L9" s="156">
        <f>+K9+J9+I9+H9+G9</f>
        <v>552.07142499999998</v>
      </c>
      <c r="M9" s="156">
        <f>+F9-L9</f>
        <v>580.71607499999993</v>
      </c>
    </row>
    <row r="11" spans="1:13" ht="15.75" x14ac:dyDescent="0.25">
      <c r="A11" s="545" t="s">
        <v>213</v>
      </c>
      <c r="B11" s="546"/>
      <c r="C11" s="546"/>
      <c r="D11" s="546"/>
      <c r="E11" s="546"/>
      <c r="F11" s="546"/>
      <c r="G11" s="546"/>
      <c r="H11" s="546"/>
      <c r="I11" s="546"/>
      <c r="J11" s="546"/>
      <c r="K11" s="546"/>
      <c r="L11" s="546"/>
      <c r="M11" s="547"/>
    </row>
    <row r="12" spans="1:13" ht="57" customHeight="1" x14ac:dyDescent="0.25">
      <c r="A12" s="86" t="s">
        <v>253</v>
      </c>
      <c r="B12" s="87" t="s">
        <v>254</v>
      </c>
      <c r="C12" s="80" t="s">
        <v>280</v>
      </c>
      <c r="D12" s="54" t="s">
        <v>281</v>
      </c>
      <c r="E12" s="80" t="s">
        <v>282</v>
      </c>
      <c r="F12" s="80" t="s">
        <v>283</v>
      </c>
      <c r="G12" s="80" t="s">
        <v>284</v>
      </c>
      <c r="H12" s="80" t="s">
        <v>285</v>
      </c>
      <c r="I12" s="80" t="s">
        <v>286</v>
      </c>
      <c r="J12" s="84" t="s">
        <v>289</v>
      </c>
      <c r="K12" s="85" t="s">
        <v>260</v>
      </c>
      <c r="L12" s="80" t="s">
        <v>287</v>
      </c>
      <c r="M12" s="80" t="s">
        <v>288</v>
      </c>
    </row>
    <row r="13" spans="1:13" ht="31.5" x14ac:dyDescent="0.25">
      <c r="A13" s="77" t="s">
        <v>269</v>
      </c>
      <c r="B13" s="77" t="s">
        <v>270</v>
      </c>
      <c r="C13" s="75">
        <v>373.65</v>
      </c>
      <c r="D13" s="75">
        <v>35</v>
      </c>
      <c r="E13" s="75">
        <f>(C13+D13)/12</f>
        <v>34.054166666666667</v>
      </c>
      <c r="F13" s="78">
        <f>+C13+D13+E13</f>
        <v>442.70416666666665</v>
      </c>
      <c r="G13" s="75">
        <f>(C13+D13)*9.45%</f>
        <v>38.61742499999999</v>
      </c>
      <c r="H13" s="78">
        <v>140</v>
      </c>
      <c r="I13" s="78">
        <v>138.61000000000001</v>
      </c>
      <c r="J13" s="75">
        <f>+E13</f>
        <v>34.054166666666667</v>
      </c>
      <c r="K13" s="75">
        <v>16.8</v>
      </c>
      <c r="L13" s="75">
        <f>+G13+H13+I13+J13+K13</f>
        <v>368.08159166666672</v>
      </c>
      <c r="M13" s="79">
        <f>+F13-L13</f>
        <v>74.622574999999927</v>
      </c>
    </row>
    <row r="14" spans="1:13" ht="31.5" x14ac:dyDescent="0.25">
      <c r="A14" s="77" t="s">
        <v>271</v>
      </c>
      <c r="B14" s="77" t="s">
        <v>270</v>
      </c>
      <c r="C14" s="75">
        <v>373.65</v>
      </c>
      <c r="D14" s="75">
        <v>35</v>
      </c>
      <c r="E14" s="75">
        <f t="shared" ref="E14:E17" si="1">(C14+D14)/12</f>
        <v>34.054166666666667</v>
      </c>
      <c r="F14" s="78">
        <f t="shared" ref="F14:F17" si="2">+C14+D14+E14</f>
        <v>442.70416666666665</v>
      </c>
      <c r="G14" s="75">
        <f t="shared" ref="G14:G17" si="3">(C14+D14)*9.45%</f>
        <v>38.61742499999999</v>
      </c>
      <c r="H14" s="78">
        <v>140</v>
      </c>
      <c r="I14" s="78">
        <v>118.01</v>
      </c>
      <c r="J14" s="75">
        <f t="shared" ref="J14:J17" si="4">+E14</f>
        <v>34.054166666666667</v>
      </c>
      <c r="K14" s="75">
        <v>16.8</v>
      </c>
      <c r="L14" s="75">
        <f t="shared" ref="L14:L17" si="5">+G14+H14+I14+J14+K14</f>
        <v>347.4815916666667</v>
      </c>
      <c r="M14" s="79">
        <f t="shared" ref="M14:M17" si="6">+F14-L14</f>
        <v>95.222574999999949</v>
      </c>
    </row>
    <row r="15" spans="1:13" ht="31.5" x14ac:dyDescent="0.25">
      <c r="A15" s="77" t="s">
        <v>272</v>
      </c>
      <c r="B15" s="77" t="s">
        <v>270</v>
      </c>
      <c r="C15" s="75">
        <v>373.65</v>
      </c>
      <c r="D15" s="75">
        <v>35</v>
      </c>
      <c r="E15" s="75">
        <f t="shared" si="1"/>
        <v>34.054166666666667</v>
      </c>
      <c r="F15" s="78">
        <f t="shared" si="2"/>
        <v>442.70416666666665</v>
      </c>
      <c r="G15" s="75">
        <f t="shared" si="3"/>
        <v>38.61742499999999</v>
      </c>
      <c r="H15" s="78">
        <v>140</v>
      </c>
      <c r="I15" s="78">
        <v>0</v>
      </c>
      <c r="J15" s="75">
        <f t="shared" si="4"/>
        <v>34.054166666666667</v>
      </c>
      <c r="K15" s="75">
        <v>16.8</v>
      </c>
      <c r="L15" s="75">
        <f t="shared" si="5"/>
        <v>229.47159166666668</v>
      </c>
      <c r="M15" s="79">
        <f t="shared" si="6"/>
        <v>213.23257499999997</v>
      </c>
    </row>
    <row r="16" spans="1:13" ht="31.5" x14ac:dyDescent="0.25">
      <c r="A16" s="77" t="s">
        <v>273</v>
      </c>
      <c r="B16" s="77" t="s">
        <v>270</v>
      </c>
      <c r="C16" s="75">
        <v>373.65</v>
      </c>
      <c r="D16" s="75">
        <v>35</v>
      </c>
      <c r="E16" s="75">
        <f t="shared" si="1"/>
        <v>34.054166666666667</v>
      </c>
      <c r="F16" s="78">
        <f t="shared" si="2"/>
        <v>442.70416666666665</v>
      </c>
      <c r="G16" s="75">
        <f t="shared" si="3"/>
        <v>38.61742499999999</v>
      </c>
      <c r="H16" s="78">
        <v>140</v>
      </c>
      <c r="I16" s="78">
        <v>144.76</v>
      </c>
      <c r="J16" s="75">
        <f t="shared" si="4"/>
        <v>34.054166666666667</v>
      </c>
      <c r="K16" s="75">
        <v>16.8</v>
      </c>
      <c r="L16" s="75">
        <f t="shared" si="5"/>
        <v>374.2315916666667</v>
      </c>
      <c r="M16" s="79">
        <f t="shared" si="6"/>
        <v>68.472574999999949</v>
      </c>
    </row>
    <row r="17" spans="1:13" ht="31.5" x14ac:dyDescent="0.25">
      <c r="A17" s="77" t="s">
        <v>274</v>
      </c>
      <c r="B17" s="77" t="s">
        <v>270</v>
      </c>
      <c r="C17" s="76">
        <v>373.65</v>
      </c>
      <c r="D17" s="76">
        <v>35</v>
      </c>
      <c r="E17" s="75">
        <f t="shared" si="1"/>
        <v>34.054166666666667</v>
      </c>
      <c r="F17" s="78">
        <f t="shared" si="2"/>
        <v>442.70416666666665</v>
      </c>
      <c r="G17" s="75">
        <f t="shared" si="3"/>
        <v>38.61742499999999</v>
      </c>
      <c r="H17" s="78">
        <v>140</v>
      </c>
      <c r="I17" s="79">
        <v>0</v>
      </c>
      <c r="J17" s="75">
        <f t="shared" si="4"/>
        <v>34.054166666666667</v>
      </c>
      <c r="K17" s="75">
        <v>16.8</v>
      </c>
      <c r="L17" s="75">
        <f t="shared" si="5"/>
        <v>229.47159166666668</v>
      </c>
      <c r="M17" s="79">
        <f t="shared" si="6"/>
        <v>213.23257499999997</v>
      </c>
    </row>
    <row r="18" spans="1:13" ht="15.75" x14ac:dyDescent="0.25">
      <c r="A18" s="539" t="s">
        <v>275</v>
      </c>
      <c r="B18" s="540"/>
      <c r="C18" s="157">
        <f t="shared" ref="C18:K18" si="7">SUM(C13:C17)</f>
        <v>1868.25</v>
      </c>
      <c r="D18" s="157">
        <f>SUM(D13:D17)</f>
        <v>175</v>
      </c>
      <c r="E18" s="157">
        <f t="shared" si="7"/>
        <v>170.27083333333334</v>
      </c>
      <c r="F18" s="157">
        <f>SUM(F13:F17)</f>
        <v>2213.520833333333</v>
      </c>
      <c r="G18" s="157">
        <f t="shared" si="7"/>
        <v>193.08712499999996</v>
      </c>
      <c r="H18" s="157">
        <f t="shared" si="7"/>
        <v>700</v>
      </c>
      <c r="I18" s="157">
        <f t="shared" si="7"/>
        <v>401.38</v>
      </c>
      <c r="J18" s="157">
        <f t="shared" si="7"/>
        <v>170.27083333333334</v>
      </c>
      <c r="K18" s="157">
        <f t="shared" si="7"/>
        <v>84</v>
      </c>
      <c r="L18" s="157">
        <f>+K18+J18+I18+H18+G18</f>
        <v>1548.7379583333334</v>
      </c>
      <c r="M18" s="157">
        <f>+F18-L18</f>
        <v>664.78287499999965</v>
      </c>
    </row>
    <row r="20" spans="1:13" ht="15.75" x14ac:dyDescent="0.25">
      <c r="A20" s="545" t="s">
        <v>279</v>
      </c>
      <c r="B20" s="546"/>
      <c r="C20" s="546"/>
      <c r="D20" s="546"/>
      <c r="E20" s="546"/>
      <c r="F20" s="546"/>
      <c r="G20" s="546"/>
      <c r="H20" s="546"/>
      <c r="I20" s="546"/>
      <c r="J20" s="546"/>
      <c r="K20" s="546"/>
      <c r="L20" s="546"/>
      <c r="M20" s="547"/>
    </row>
    <row r="21" spans="1:13" ht="55.5" customHeight="1" x14ac:dyDescent="0.25">
      <c r="A21" s="86" t="s">
        <v>253</v>
      </c>
      <c r="B21" s="87" t="s">
        <v>254</v>
      </c>
      <c r="C21" s="80" t="s">
        <v>280</v>
      </c>
      <c r="D21" s="54" t="s">
        <v>281</v>
      </c>
      <c r="E21" s="80" t="s">
        <v>282</v>
      </c>
      <c r="F21" s="80" t="s">
        <v>283</v>
      </c>
      <c r="G21" s="80" t="s">
        <v>284</v>
      </c>
      <c r="H21" s="80" t="s">
        <v>285</v>
      </c>
      <c r="I21" s="80" t="s">
        <v>286</v>
      </c>
      <c r="J21" s="84" t="s">
        <v>289</v>
      </c>
      <c r="K21" s="85" t="s">
        <v>260</v>
      </c>
      <c r="L21" s="80" t="s">
        <v>287</v>
      </c>
      <c r="M21" s="80" t="s">
        <v>288</v>
      </c>
    </row>
    <row r="22" spans="1:13" ht="31.5" x14ac:dyDescent="0.25">
      <c r="A22" s="54" t="s">
        <v>276</v>
      </c>
      <c r="B22" s="54" t="s">
        <v>277</v>
      </c>
      <c r="C22" s="76">
        <v>381</v>
      </c>
      <c r="D22" s="76">
        <v>74</v>
      </c>
      <c r="E22" s="75">
        <f t="shared" ref="E22" si="8">(C22+D22)/12</f>
        <v>37.916666666666664</v>
      </c>
      <c r="F22" s="76">
        <f>+C22+D22+E22</f>
        <v>492.91666666666669</v>
      </c>
      <c r="G22" s="75">
        <f>(+C22+D22)*9.45%</f>
        <v>42.997499999999995</v>
      </c>
      <c r="H22" s="76">
        <v>140</v>
      </c>
      <c r="I22" s="76">
        <v>0</v>
      </c>
      <c r="J22" s="76">
        <f>+E22</f>
        <v>37.916666666666664</v>
      </c>
      <c r="K22" s="76">
        <v>39</v>
      </c>
      <c r="L22" s="76">
        <f>+G22+H22+I22+J22+K22</f>
        <v>259.91416666666669</v>
      </c>
      <c r="M22" s="76">
        <f>+F22-L22</f>
        <v>233.0025</v>
      </c>
    </row>
    <row r="23" spans="1:13" ht="15.75" x14ac:dyDescent="0.25">
      <c r="A23" s="539" t="s">
        <v>278</v>
      </c>
      <c r="B23" s="540"/>
      <c r="C23" s="157">
        <f>+C22</f>
        <v>381</v>
      </c>
      <c r="D23" s="157">
        <f>+D22</f>
        <v>74</v>
      </c>
      <c r="E23" s="157">
        <f t="shared" ref="E23:M23" si="9">+E22</f>
        <v>37.916666666666664</v>
      </c>
      <c r="F23" s="157">
        <f t="shared" si="9"/>
        <v>492.91666666666669</v>
      </c>
      <c r="G23" s="157">
        <f t="shared" si="9"/>
        <v>42.997499999999995</v>
      </c>
      <c r="H23" s="157">
        <f t="shared" si="9"/>
        <v>140</v>
      </c>
      <c r="I23" s="157">
        <f t="shared" si="9"/>
        <v>0</v>
      </c>
      <c r="J23" s="157">
        <f t="shared" si="9"/>
        <v>37.916666666666664</v>
      </c>
      <c r="K23" s="156">
        <v>468</v>
      </c>
      <c r="L23" s="157">
        <f>+K23+J23+I23+H23+G23</f>
        <v>688.91416666666669</v>
      </c>
      <c r="M23" s="157">
        <f t="shared" si="9"/>
        <v>233.0025</v>
      </c>
    </row>
    <row r="24" spans="1:13" ht="15.75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ht="15.75" x14ac:dyDescent="0.25">
      <c r="A25" s="538" t="s">
        <v>304</v>
      </c>
      <c r="B25" s="538"/>
      <c r="C25" s="157">
        <f t="shared" ref="C25" si="10">+C23+C18+C9</f>
        <v>3122.9</v>
      </c>
      <c r="D25" s="157">
        <f t="shared" ref="D25:L25" si="11">+D23+D18+D9</f>
        <v>421</v>
      </c>
      <c r="E25" s="157">
        <f t="shared" si="11"/>
        <v>295.32499999999999</v>
      </c>
      <c r="F25" s="157">
        <f t="shared" si="11"/>
        <v>3839.2249999999995</v>
      </c>
      <c r="G25" s="157">
        <f t="shared" si="11"/>
        <v>334.89854999999994</v>
      </c>
      <c r="H25" s="157">
        <f t="shared" si="11"/>
        <v>1180</v>
      </c>
      <c r="I25" s="157">
        <f t="shared" si="11"/>
        <v>427.5</v>
      </c>
      <c r="J25" s="157">
        <f t="shared" si="11"/>
        <v>295.32499999999999</v>
      </c>
      <c r="K25" s="157">
        <f t="shared" si="11"/>
        <v>552</v>
      </c>
      <c r="L25" s="157">
        <f t="shared" si="11"/>
        <v>2789.7235500000002</v>
      </c>
      <c r="M25" s="157">
        <f>+F25-L25</f>
        <v>1049.5014499999993</v>
      </c>
    </row>
    <row r="39" spans="8:16" x14ac:dyDescent="0.25">
      <c r="H39" s="201"/>
    </row>
    <row r="41" spans="8:16" x14ac:dyDescent="0.25">
      <c r="H41" s="201"/>
      <c r="P41" s="201"/>
    </row>
    <row r="44" spans="8:16" x14ac:dyDescent="0.25">
      <c r="J44" s="201"/>
    </row>
    <row r="55" spans="4:4" x14ac:dyDescent="0.25">
      <c r="D55">
        <v>4065</v>
      </c>
    </row>
  </sheetData>
  <mergeCells count="10">
    <mergeCell ref="C3:M3"/>
    <mergeCell ref="A3:B3"/>
    <mergeCell ref="A25:B25"/>
    <mergeCell ref="A18:B18"/>
    <mergeCell ref="A9:B9"/>
    <mergeCell ref="B4:M4"/>
    <mergeCell ref="A23:B23"/>
    <mergeCell ref="A5:M5"/>
    <mergeCell ref="A11:M11"/>
    <mergeCell ref="A20:M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3"/>
  <sheetViews>
    <sheetView workbookViewId="0">
      <selection activeCell="M4" sqref="M4:O9"/>
    </sheetView>
  </sheetViews>
  <sheetFormatPr baseColWidth="10" defaultRowHeight="15" x14ac:dyDescent="0.25"/>
  <cols>
    <col min="3" max="3" width="12.85546875" customWidth="1"/>
    <col min="7" max="7" width="15.5703125" customWidth="1"/>
    <col min="10" max="10" width="20.42578125" customWidth="1"/>
  </cols>
  <sheetData>
    <row r="3" spans="1:15" ht="42.75" customHeight="1" x14ac:dyDescent="0.25">
      <c r="A3" t="s">
        <v>456</v>
      </c>
      <c r="B3" t="s">
        <v>319</v>
      </c>
      <c r="C3" t="s">
        <v>457</v>
      </c>
      <c r="F3" s="549" t="s">
        <v>495</v>
      </c>
      <c r="G3" s="549"/>
      <c r="H3" t="s">
        <v>319</v>
      </c>
      <c r="I3" t="s">
        <v>319</v>
      </c>
      <c r="J3" t="s">
        <v>457</v>
      </c>
      <c r="K3" t="s">
        <v>496</v>
      </c>
    </row>
    <row r="4" spans="1:15" x14ac:dyDescent="0.25">
      <c r="A4">
        <v>1</v>
      </c>
      <c r="B4">
        <f>+'Minutos MOD por exmen '!C37</f>
        <v>8.3333333333333329E-2</v>
      </c>
      <c r="C4">
        <f>+'tasa MOD '!$M$7</f>
        <v>7.460887357795225</v>
      </c>
      <c r="D4">
        <f>+C4*B4</f>
        <v>0.62174061314960205</v>
      </c>
      <c r="F4" t="s">
        <v>476</v>
      </c>
      <c r="G4">
        <v>101</v>
      </c>
      <c r="H4">
        <f>+'Minutos MOD por exmen '!C39</f>
        <v>0.25</v>
      </c>
      <c r="I4">
        <f>+G4*H4</f>
        <v>25.25</v>
      </c>
      <c r="J4">
        <f>+C4</f>
        <v>7.460887357795225</v>
      </c>
      <c r="K4">
        <f>+J4*I4</f>
        <v>188.38740578432945</v>
      </c>
      <c r="M4" s="29" t="s">
        <v>244</v>
      </c>
      <c r="N4">
        <v>5</v>
      </c>
      <c r="O4">
        <f t="shared" ref="O4:O6" si="0">+N4/60</f>
        <v>8.3333333333333329E-2</v>
      </c>
    </row>
    <row r="5" spans="1:15" x14ac:dyDescent="0.25">
      <c r="A5">
        <v>2</v>
      </c>
      <c r="B5">
        <f>+'Minutos MOD por exmen '!C38</f>
        <v>0.13333333333333333</v>
      </c>
      <c r="C5">
        <f>+'tasa MOD '!$M$7</f>
        <v>7.460887357795225</v>
      </c>
      <c r="D5">
        <f t="shared" ref="D5:D18" si="1">+C5*B5</f>
        <v>0.9947849810393633</v>
      </c>
      <c r="F5" t="s">
        <v>477</v>
      </c>
      <c r="G5">
        <v>63</v>
      </c>
      <c r="H5">
        <f>+'Minutos MOD por exmen '!C40</f>
        <v>0.2</v>
      </c>
      <c r="I5">
        <f t="shared" ref="I5:I9" si="2">+G5*H5</f>
        <v>12.600000000000001</v>
      </c>
      <c r="J5">
        <f t="shared" ref="J5:J9" si="3">+C5</f>
        <v>7.460887357795225</v>
      </c>
      <c r="K5">
        <f t="shared" ref="K5:K9" si="4">+J5*I5</f>
        <v>94.007180708219849</v>
      </c>
      <c r="M5" s="29" t="s">
        <v>240</v>
      </c>
      <c r="N5">
        <v>8</v>
      </c>
      <c r="O5">
        <f t="shared" si="0"/>
        <v>0.13333333333333333</v>
      </c>
    </row>
    <row r="6" spans="1:15" x14ac:dyDescent="0.25">
      <c r="A6">
        <v>3</v>
      </c>
      <c r="B6">
        <f>+'Minutos MOD por exmen '!C42</f>
        <v>0.28333333333333333</v>
      </c>
      <c r="C6">
        <f>+'tasa MOD '!$M$7</f>
        <v>7.460887357795225</v>
      </c>
      <c r="D6">
        <f t="shared" si="1"/>
        <v>2.1139180847086472</v>
      </c>
      <c r="F6" t="s">
        <v>478</v>
      </c>
      <c r="G6">
        <v>31</v>
      </c>
      <c r="H6">
        <f>+'Minutos MOD por exmen '!C41</f>
        <v>0.58333333333333337</v>
      </c>
      <c r="I6">
        <f t="shared" si="2"/>
        <v>18.083333333333336</v>
      </c>
      <c r="J6">
        <f t="shared" si="3"/>
        <v>7.460887357795225</v>
      </c>
      <c r="K6">
        <f t="shared" si="4"/>
        <v>134.91771305346367</v>
      </c>
      <c r="M6" s="29" t="s">
        <v>513</v>
      </c>
      <c r="N6">
        <v>15</v>
      </c>
      <c r="O6">
        <f t="shared" si="0"/>
        <v>0.25</v>
      </c>
    </row>
    <row r="7" spans="1:15" x14ac:dyDescent="0.25">
      <c r="A7">
        <v>4</v>
      </c>
      <c r="B7">
        <f>+'Minutos MOD por exmen '!C39</f>
        <v>0.25</v>
      </c>
      <c r="C7">
        <f>+'tasa MOD '!$M$7</f>
        <v>7.460887357795225</v>
      </c>
      <c r="D7">
        <f t="shared" si="1"/>
        <v>1.8652218394488063</v>
      </c>
      <c r="F7" t="s">
        <v>479</v>
      </c>
      <c r="G7">
        <v>82</v>
      </c>
      <c r="H7">
        <f>+'Minutos MOD por exmen '!C38</f>
        <v>0.13333333333333333</v>
      </c>
      <c r="I7">
        <f t="shared" si="2"/>
        <v>10.933333333333334</v>
      </c>
      <c r="J7">
        <f t="shared" si="3"/>
        <v>7.460887357795225</v>
      </c>
      <c r="K7">
        <f t="shared" si="4"/>
        <v>81.572368445227795</v>
      </c>
      <c r="M7" s="29" t="s">
        <v>100</v>
      </c>
      <c r="N7">
        <v>12</v>
      </c>
      <c r="O7">
        <f>+N7/60</f>
        <v>0.2</v>
      </c>
    </row>
    <row r="8" spans="1:15" x14ac:dyDescent="0.25">
      <c r="A8">
        <v>5</v>
      </c>
      <c r="B8">
        <f>+'Minutos MOD por exmen '!C41</f>
        <v>0.58333333333333337</v>
      </c>
      <c r="C8">
        <f>+'tasa MOD '!$M$7</f>
        <v>7.460887357795225</v>
      </c>
      <c r="D8">
        <f t="shared" si="1"/>
        <v>4.3521842920472151</v>
      </c>
      <c r="F8" t="s">
        <v>480</v>
      </c>
      <c r="G8">
        <v>88</v>
      </c>
      <c r="H8">
        <f>+'Minutos MOD por exmen '!C37</f>
        <v>8.3333333333333329E-2</v>
      </c>
      <c r="I8">
        <f t="shared" si="2"/>
        <v>7.333333333333333</v>
      </c>
      <c r="J8">
        <f t="shared" si="3"/>
        <v>7.460887357795225</v>
      </c>
      <c r="K8">
        <f t="shared" si="4"/>
        <v>54.713173957164983</v>
      </c>
      <c r="M8" s="29" t="s">
        <v>239</v>
      </c>
      <c r="N8">
        <v>35</v>
      </c>
      <c r="O8">
        <f>+N8/60</f>
        <v>0.58333333333333337</v>
      </c>
    </row>
    <row r="9" spans="1:15" x14ac:dyDescent="0.25">
      <c r="A9">
        <v>6</v>
      </c>
      <c r="B9">
        <f>+'Minutos MOD por exmen '!C37</f>
        <v>8.3333333333333329E-2</v>
      </c>
      <c r="C9">
        <f>+'tasa MOD '!$M$7</f>
        <v>7.460887357795225</v>
      </c>
      <c r="D9">
        <f t="shared" si="1"/>
        <v>0.62174061314960205</v>
      </c>
      <c r="F9" t="s">
        <v>481</v>
      </c>
      <c r="G9">
        <v>41</v>
      </c>
      <c r="H9">
        <f>+'Minutos MOD por exmen '!C42</f>
        <v>0.28333333333333333</v>
      </c>
      <c r="I9">
        <f t="shared" si="2"/>
        <v>11.616666666666667</v>
      </c>
      <c r="J9">
        <f t="shared" si="3"/>
        <v>7.460887357795225</v>
      </c>
      <c r="K9">
        <f t="shared" si="4"/>
        <v>86.67064147305453</v>
      </c>
      <c r="M9" s="29" t="s">
        <v>242</v>
      </c>
      <c r="N9">
        <v>17</v>
      </c>
      <c r="O9">
        <f>+N9/60</f>
        <v>0.28333333333333333</v>
      </c>
    </row>
    <row r="10" spans="1:15" x14ac:dyDescent="0.25">
      <c r="A10">
        <v>7</v>
      </c>
      <c r="B10">
        <f>+'Minutos MOD por exmen '!C39</f>
        <v>0.25</v>
      </c>
      <c r="C10">
        <f>+'tasa MOD '!$M$7</f>
        <v>7.460887357795225</v>
      </c>
      <c r="D10">
        <f t="shared" si="1"/>
        <v>1.8652218394488063</v>
      </c>
      <c r="I10">
        <f>SUM(I4:I9)</f>
        <v>85.816666666666663</v>
      </c>
      <c r="K10">
        <f>SUM(K4:K9)</f>
        <v>640.26848342146025</v>
      </c>
    </row>
    <row r="11" spans="1:15" x14ac:dyDescent="0.25">
      <c r="A11">
        <v>8</v>
      </c>
      <c r="B11">
        <f>+'Minutos MOD por exmen '!C38</f>
        <v>0.13333333333333333</v>
      </c>
      <c r="C11">
        <f>+'tasa MOD '!$M$7</f>
        <v>7.460887357795225</v>
      </c>
      <c r="D11">
        <f t="shared" si="1"/>
        <v>0.9947849810393633</v>
      </c>
    </row>
    <row r="12" spans="1:15" x14ac:dyDescent="0.25">
      <c r="A12">
        <v>9</v>
      </c>
      <c r="B12">
        <f>+'Minutos MOD por exmen '!C40</f>
        <v>0.2</v>
      </c>
      <c r="C12">
        <f>+'tasa MOD '!$M$7</f>
        <v>7.460887357795225</v>
      </c>
      <c r="D12">
        <f t="shared" si="1"/>
        <v>1.492177471559045</v>
      </c>
    </row>
    <row r="13" spans="1:15" x14ac:dyDescent="0.25">
      <c r="A13">
        <v>10</v>
      </c>
      <c r="B13">
        <f>+'Minutos MOD por exmen '!C37</f>
        <v>8.3333333333333329E-2</v>
      </c>
      <c r="C13">
        <f>+'tasa MOD '!$M$7</f>
        <v>7.460887357795225</v>
      </c>
      <c r="D13">
        <f t="shared" si="1"/>
        <v>0.62174061314960205</v>
      </c>
    </row>
    <row r="14" spans="1:15" ht="30" customHeight="1" x14ac:dyDescent="0.25">
      <c r="A14">
        <v>11</v>
      </c>
      <c r="B14">
        <f>+'Minutos MOD por exmen '!C38</f>
        <v>0.13333333333333333</v>
      </c>
      <c r="C14">
        <f>+'tasa MOD '!$M$7</f>
        <v>7.460887357795225</v>
      </c>
      <c r="D14">
        <f t="shared" si="1"/>
        <v>0.9947849810393633</v>
      </c>
      <c r="I14" s="548" t="s">
        <v>694</v>
      </c>
      <c r="J14" s="548"/>
      <c r="K14" s="35">
        <f>+F28</f>
        <v>1162.0593677071906</v>
      </c>
    </row>
    <row r="15" spans="1:15" ht="27.75" customHeight="1" x14ac:dyDescent="0.25">
      <c r="A15">
        <v>12</v>
      </c>
      <c r="B15">
        <f>+'Minutos MOD por exmen '!C39</f>
        <v>0.25</v>
      </c>
      <c r="C15">
        <f>+'tasa MOD '!$M$7</f>
        <v>7.460887357795225</v>
      </c>
      <c r="D15">
        <f t="shared" si="1"/>
        <v>1.8652218394488063</v>
      </c>
      <c r="I15" s="548" t="s">
        <v>695</v>
      </c>
      <c r="J15" s="548"/>
      <c r="K15" s="35">
        <f>+F33</f>
        <v>341.84763538446191</v>
      </c>
    </row>
    <row r="16" spans="1:15" x14ac:dyDescent="0.25">
      <c r="A16">
        <v>13</v>
      </c>
      <c r="B16">
        <f>+'Minutos MOD por exmen '!C37</f>
        <v>8.3333333333333329E-2</v>
      </c>
      <c r="C16">
        <f>+'tasa MOD '!$M$7</f>
        <v>7.460887357795225</v>
      </c>
      <c r="D16">
        <f t="shared" si="1"/>
        <v>0.62174061314960205</v>
      </c>
      <c r="K16" s="35">
        <f>SUM(K14:K15)</f>
        <v>1503.9070030916525</v>
      </c>
    </row>
    <row r="17" spans="1:11" x14ac:dyDescent="0.25">
      <c r="A17">
        <v>14</v>
      </c>
      <c r="B17">
        <f>+'Minutos MOD por exmen '!C40</f>
        <v>0.2</v>
      </c>
      <c r="C17">
        <f>+'tasa MOD '!$M$7</f>
        <v>7.460887357795225</v>
      </c>
      <c r="D17">
        <f t="shared" si="1"/>
        <v>1.492177471559045</v>
      </c>
    </row>
    <row r="18" spans="1:11" x14ac:dyDescent="0.25">
      <c r="A18">
        <v>15</v>
      </c>
      <c r="B18">
        <f>+'Minutos MOD por exmen '!C38</f>
        <v>0.13333333333333333</v>
      </c>
      <c r="C18">
        <f>+'tasa MOD '!$M$7</f>
        <v>7.460887357795225</v>
      </c>
      <c r="D18">
        <f t="shared" si="1"/>
        <v>0.9947849810393633</v>
      </c>
    </row>
    <row r="19" spans="1:11" x14ac:dyDescent="0.25">
      <c r="D19">
        <f>SUM(D4:D18)</f>
        <v>21.51222521497623</v>
      </c>
      <c r="J19" t="s">
        <v>497</v>
      </c>
      <c r="K19" s="244">
        <f>+K16-K10</f>
        <v>863.6385196701923</v>
      </c>
    </row>
    <row r="25" spans="1:11" x14ac:dyDescent="0.25">
      <c r="F25" t="s">
        <v>691</v>
      </c>
      <c r="G25" t="s">
        <v>692</v>
      </c>
    </row>
    <row r="26" spans="1:11" x14ac:dyDescent="0.25">
      <c r="C26" t="s">
        <v>493</v>
      </c>
      <c r="F26" s="426">
        <v>2213.52</v>
      </c>
      <c r="G26" s="426">
        <v>10027</v>
      </c>
    </row>
    <row r="27" spans="1:11" x14ac:dyDescent="0.25">
      <c r="G27">
        <v>5264</v>
      </c>
    </row>
    <row r="28" spans="1:11" x14ac:dyDescent="0.25">
      <c r="C28" s="35"/>
      <c r="F28" s="35">
        <f>(+G27*F26)/G26</f>
        <v>1162.0593677071906</v>
      </c>
    </row>
    <row r="31" spans="1:11" x14ac:dyDescent="0.25">
      <c r="C31" t="s">
        <v>693</v>
      </c>
      <c r="F31">
        <v>651.16</v>
      </c>
      <c r="G31">
        <v>10027</v>
      </c>
    </row>
    <row r="32" spans="1:11" x14ac:dyDescent="0.25">
      <c r="G32">
        <v>5264</v>
      </c>
    </row>
    <row r="33" spans="6:6" x14ac:dyDescent="0.25">
      <c r="F33" s="35">
        <f>(+G32*F31)/G31</f>
        <v>341.84763538446191</v>
      </c>
    </row>
  </sheetData>
  <mergeCells count="3">
    <mergeCell ref="I14:J14"/>
    <mergeCell ref="I15:J15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kardex materiales</vt:lpstr>
      <vt:lpstr>kardex reactivos 1</vt:lpstr>
      <vt:lpstr>kardex reactivos 2</vt:lpstr>
      <vt:lpstr>kardex reactivos 3</vt:lpstr>
      <vt:lpstr>Libro diario</vt:lpstr>
      <vt:lpstr>hoja de costos </vt:lpstr>
      <vt:lpstr>Mayorización </vt:lpstr>
      <vt:lpstr>Rol de pagos octubre</vt:lpstr>
      <vt:lpstr>Calculo tiempo inactivo</vt:lpstr>
      <vt:lpstr>Rol de Provisiones</vt:lpstr>
      <vt:lpstr>depreciaciones</vt:lpstr>
      <vt:lpstr>estado prod y ventas</vt:lpstr>
      <vt:lpstr>tasa MOD </vt:lpstr>
      <vt:lpstr>PRESUPUESTO cif </vt:lpstr>
      <vt:lpstr>hojas de costos 2</vt:lpstr>
      <vt:lpstr>Minutos MOD por exmen </vt:lpstr>
      <vt:lpstr>cuadro propuesta</vt:lpstr>
      <vt:lpstr>tasa cif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MARTHA1</dc:creator>
  <cp:lastModifiedBy>MARTHA1</cp:lastModifiedBy>
  <dcterms:created xsi:type="dcterms:W3CDTF">2016-08-28T02:35:50Z</dcterms:created>
  <dcterms:modified xsi:type="dcterms:W3CDTF">2017-02-03T15:01:32Z</dcterms:modified>
</cp:coreProperties>
</file>