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CE\Dropbox\Tesis PUCE\Capítulo III\"/>
    </mc:Choice>
  </mc:AlternateContent>
  <xr:revisionPtr revIDLastSave="0" documentId="13_ncr:1_{384B7B15-2368-4AC4-860B-EF511F556776}" xr6:coauthVersionLast="40" xr6:coauthVersionMax="40" xr10:uidLastSave="{00000000-0000-0000-0000-000000000000}"/>
  <bookViews>
    <workbookView xWindow="-108" yWindow="-108" windowWidth="23256" windowHeight="12576" xr2:uid="{7C0D635E-DFDB-4BCE-B5E3-2952CDE366D7}"/>
  </bookViews>
  <sheets>
    <sheet name="ANEXO" sheetId="2" r:id="rId1"/>
    <sheet name="Contabilización Horaria" sheetId="3" r:id="rId2"/>
    <sheet name="Resumen Conteos" sheetId="4" r:id="rId3"/>
    <sheet name="Cálculo de Fd" sheetId="5" r:id="rId4"/>
    <sheet name="Cálculo TPDA" sheetId="6" r:id="rId5"/>
    <sheet name="Proyecciones" sheetId="7" r:id="rId6"/>
    <sheet name="Consumo Combustible ECUADOR" sheetId="8" r:id="rId7"/>
    <sheet name="Consumo Combustible COLOMBIA" sheetId="9" r:id="rId8"/>
    <sheet name="Hoja1" sheetId="1" r:id="rId9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7" i="4" l="1"/>
  <c r="Y17" i="4"/>
  <c r="Z17" i="4"/>
  <c r="AA17" i="4"/>
  <c r="W17" i="4"/>
  <c r="X11" i="4"/>
  <c r="Y11" i="4"/>
  <c r="Z11" i="4"/>
  <c r="W11" i="4"/>
  <c r="AA16" i="4"/>
  <c r="AA10" i="4"/>
  <c r="AA11" i="4" l="1"/>
  <c r="AD17" i="9"/>
  <c r="AC17" i="9"/>
  <c r="AB17" i="9"/>
  <c r="AA17" i="9"/>
  <c r="Z17" i="9"/>
  <c r="Y17" i="9"/>
  <c r="X17" i="9"/>
  <c r="W17" i="9"/>
  <c r="AE17" i="9" s="1"/>
  <c r="AG17" i="9" s="1"/>
  <c r="V17" i="9"/>
  <c r="U17" i="9"/>
  <c r="T17" i="9"/>
  <c r="S17" i="9"/>
  <c r="AD16" i="9"/>
  <c r="AC16" i="9"/>
  <c r="AB16" i="9"/>
  <c r="AA16" i="9"/>
  <c r="Z16" i="9"/>
  <c r="Y16" i="9"/>
  <c r="X16" i="9"/>
  <c r="W16" i="9"/>
  <c r="AE16" i="9" s="1"/>
  <c r="AG16" i="9" s="1"/>
  <c r="V16" i="9"/>
  <c r="U16" i="9"/>
  <c r="T16" i="9"/>
  <c r="S16" i="9"/>
  <c r="AD15" i="9"/>
  <c r="AC15" i="9"/>
  <c r="AB15" i="9"/>
  <c r="AA15" i="9"/>
  <c r="Z15" i="9"/>
  <c r="Y15" i="9"/>
  <c r="X15" i="9"/>
  <c r="W15" i="9"/>
  <c r="V15" i="9"/>
  <c r="U15" i="9"/>
  <c r="T15" i="9"/>
  <c r="S15" i="9"/>
  <c r="AE15" i="9" s="1"/>
  <c r="AG15" i="9" s="1"/>
  <c r="AD14" i="9"/>
  <c r="AC14" i="9"/>
  <c r="AB14" i="9"/>
  <c r="AA14" i="9"/>
  <c r="Z14" i="9"/>
  <c r="Y14" i="9"/>
  <c r="X14" i="9"/>
  <c r="W14" i="9"/>
  <c r="V14" i="9"/>
  <c r="U14" i="9"/>
  <c r="T14" i="9"/>
  <c r="S14" i="9"/>
  <c r="AE14" i="9" s="1"/>
  <c r="AG14" i="9" s="1"/>
  <c r="AD13" i="9"/>
  <c r="AC13" i="9"/>
  <c r="AB13" i="9"/>
  <c r="AA13" i="9"/>
  <c r="Z13" i="9"/>
  <c r="Y13" i="9"/>
  <c r="X13" i="9"/>
  <c r="W13" i="9"/>
  <c r="AE13" i="9" s="1"/>
  <c r="AG13" i="9" s="1"/>
  <c r="V13" i="9"/>
  <c r="U13" i="9"/>
  <c r="T13" i="9"/>
  <c r="S13" i="9"/>
  <c r="AD12" i="9"/>
  <c r="AC12" i="9"/>
  <c r="AB12" i="9"/>
  <c r="AA12" i="9"/>
  <c r="Z12" i="9"/>
  <c r="Y12" i="9"/>
  <c r="X12" i="9"/>
  <c r="W12" i="9"/>
  <c r="AE12" i="9" s="1"/>
  <c r="AG12" i="9" s="1"/>
  <c r="V12" i="9"/>
  <c r="U12" i="9"/>
  <c r="T12" i="9"/>
  <c r="S12" i="9"/>
  <c r="AD11" i="9"/>
  <c r="AC11" i="9"/>
  <c r="AB11" i="9"/>
  <c r="AA11" i="9"/>
  <c r="Z11" i="9"/>
  <c r="Y11" i="9"/>
  <c r="X11" i="9"/>
  <c r="W11" i="9"/>
  <c r="V11" i="9"/>
  <c r="AE11" i="9" s="1"/>
  <c r="AG11" i="9" s="1"/>
  <c r="U11" i="9"/>
  <c r="T11" i="9"/>
  <c r="S11" i="9"/>
  <c r="AD10" i="9"/>
  <c r="AC10" i="9"/>
  <c r="AB10" i="9"/>
  <c r="AA10" i="9"/>
  <c r="Z10" i="9"/>
  <c r="Y10" i="9"/>
  <c r="X10" i="9"/>
  <c r="W10" i="9"/>
  <c r="V10" i="9"/>
  <c r="U10" i="9"/>
  <c r="T10" i="9"/>
  <c r="AE10" i="9" s="1"/>
  <c r="AG10" i="9" s="1"/>
  <c r="S10" i="9"/>
  <c r="AD9" i="9"/>
  <c r="AC9" i="9"/>
  <c r="AB9" i="9"/>
  <c r="AA9" i="9"/>
  <c r="Z9" i="9"/>
  <c r="Y9" i="9"/>
  <c r="X9" i="9"/>
  <c r="W9" i="9"/>
  <c r="V9" i="9"/>
  <c r="U9" i="9"/>
  <c r="T9" i="9"/>
  <c r="S9" i="9"/>
  <c r="AE9" i="9" s="1"/>
  <c r="AG9" i="9" s="1"/>
  <c r="AD8" i="9"/>
  <c r="AC8" i="9"/>
  <c r="AB8" i="9"/>
  <c r="AA8" i="9"/>
  <c r="Z8" i="9"/>
  <c r="Y8" i="9"/>
  <c r="X8" i="9"/>
  <c r="W8" i="9"/>
  <c r="V8" i="9"/>
  <c r="U8" i="9"/>
  <c r="T8" i="9"/>
  <c r="S8" i="9"/>
  <c r="AE8" i="9" s="1"/>
  <c r="AG8" i="9" s="1"/>
  <c r="AD7" i="9"/>
  <c r="AC7" i="9"/>
  <c r="AB7" i="9"/>
  <c r="AA7" i="9"/>
  <c r="Z7" i="9"/>
  <c r="Y7" i="9"/>
  <c r="X7" i="9"/>
  <c r="W7" i="9"/>
  <c r="V7" i="9"/>
  <c r="AE7" i="9" s="1"/>
  <c r="AG7" i="9" s="1"/>
  <c r="U7" i="9"/>
  <c r="T7" i="9"/>
  <c r="S7" i="9"/>
  <c r="L45" i="8"/>
  <c r="J45" i="8"/>
  <c r="F45" i="8"/>
  <c r="E45" i="8"/>
  <c r="D45" i="8"/>
  <c r="L42" i="8"/>
  <c r="K42" i="8"/>
  <c r="K45" i="8" s="1"/>
  <c r="J42" i="8"/>
  <c r="I42" i="8"/>
  <c r="I45" i="8" s="1"/>
  <c r="H42" i="8"/>
  <c r="H45" i="8" s="1"/>
  <c r="G42" i="8"/>
  <c r="G45" i="8" s="1"/>
  <c r="F42" i="8"/>
  <c r="E42" i="8"/>
  <c r="D42" i="8"/>
  <c r="N41" i="8"/>
  <c r="M41" i="8"/>
  <c r="N38" i="8"/>
  <c r="M38" i="8"/>
  <c r="N35" i="8"/>
  <c r="M35" i="8"/>
  <c r="N32" i="8"/>
  <c r="M32" i="8"/>
  <c r="N29" i="8"/>
  <c r="M29" i="8"/>
  <c r="N26" i="8"/>
  <c r="M26" i="8"/>
  <c r="N23" i="8"/>
  <c r="M23" i="8"/>
  <c r="N20" i="8"/>
  <c r="M20" i="8"/>
  <c r="N17" i="8"/>
  <c r="M17" i="8"/>
  <c r="N14" i="8"/>
  <c r="M14" i="8"/>
  <c r="M42" i="8" s="1"/>
  <c r="M45" i="8" s="1"/>
  <c r="N11" i="8"/>
  <c r="M11" i="8"/>
  <c r="N8" i="8"/>
  <c r="N42" i="8" s="1"/>
  <c r="N45" i="8" s="1"/>
  <c r="AC39" i="6"/>
  <c r="AB39" i="6"/>
  <c r="AA39" i="6"/>
  <c r="Z39" i="6"/>
  <c r="AD39" i="6" s="1"/>
  <c r="AD38" i="6"/>
  <c r="AD35" i="6"/>
  <c r="I27" i="6"/>
  <c r="AP23" i="6"/>
  <c r="AQ23" i="6" s="1"/>
  <c r="S23" i="6"/>
  <c r="R23" i="6"/>
  <c r="Q23" i="6"/>
  <c r="P23" i="6"/>
  <c r="T23" i="6" s="1"/>
  <c r="M23" i="6"/>
  <c r="N23" i="6" s="1"/>
  <c r="L23" i="6"/>
  <c r="K23" i="6"/>
  <c r="K24" i="6" s="1"/>
  <c r="K25" i="6" s="1"/>
  <c r="J23" i="6"/>
  <c r="J24" i="6" s="1"/>
  <c r="J25" i="6" s="1"/>
  <c r="I23" i="6"/>
  <c r="H23" i="6"/>
  <c r="G23" i="6"/>
  <c r="F23" i="6"/>
  <c r="F24" i="6" s="1"/>
  <c r="F25" i="6" s="1"/>
  <c r="E23" i="6"/>
  <c r="D23" i="6"/>
  <c r="V23" i="6" s="1"/>
  <c r="AQ20" i="6"/>
  <c r="AP20" i="6"/>
  <c r="S19" i="6"/>
  <c r="R19" i="6"/>
  <c r="R27" i="6" s="1"/>
  <c r="Q19" i="6"/>
  <c r="P19" i="6"/>
  <c r="M19" i="6"/>
  <c r="M27" i="6" s="1"/>
  <c r="L19" i="6"/>
  <c r="L27" i="6" s="1"/>
  <c r="K19" i="6"/>
  <c r="K27" i="6" s="1"/>
  <c r="J19" i="6"/>
  <c r="J27" i="6" s="1"/>
  <c r="I19" i="6"/>
  <c r="H19" i="6"/>
  <c r="H27" i="6" s="1"/>
  <c r="G19" i="6"/>
  <c r="G27" i="6" s="1"/>
  <c r="F19" i="6"/>
  <c r="F27" i="6" s="1"/>
  <c r="E19" i="6"/>
  <c r="E27" i="6" s="1"/>
  <c r="D19" i="6"/>
  <c r="D27" i="6" s="1"/>
  <c r="K16" i="5"/>
  <c r="K5" i="5"/>
  <c r="I83" i="4"/>
  <c r="E83" i="4"/>
  <c r="D83" i="4"/>
  <c r="I82" i="4"/>
  <c r="E82" i="4"/>
  <c r="D82" i="4"/>
  <c r="I81" i="4"/>
  <c r="E81" i="4"/>
  <c r="D81" i="4"/>
  <c r="I80" i="4"/>
  <c r="E80" i="4"/>
  <c r="D80" i="4"/>
  <c r="I79" i="4"/>
  <c r="E79" i="4"/>
  <c r="D79" i="4"/>
  <c r="I78" i="4"/>
  <c r="E78" i="4"/>
  <c r="D78" i="4"/>
  <c r="I77" i="4"/>
  <c r="E77" i="4"/>
  <c r="D77" i="4"/>
  <c r="I76" i="4"/>
  <c r="E76" i="4"/>
  <c r="D76" i="4"/>
  <c r="I75" i="4"/>
  <c r="E75" i="4"/>
  <c r="D75" i="4"/>
  <c r="I74" i="4"/>
  <c r="E74" i="4"/>
  <c r="D74" i="4"/>
  <c r="I73" i="4"/>
  <c r="E73" i="4"/>
  <c r="D73" i="4"/>
  <c r="I72" i="4"/>
  <c r="E72" i="4"/>
  <c r="D72" i="4"/>
  <c r="B61" i="4"/>
  <c r="C60" i="4"/>
  <c r="B60" i="4"/>
  <c r="C59" i="4"/>
  <c r="B59" i="4"/>
  <c r="C58" i="4"/>
  <c r="B58" i="4"/>
  <c r="C57" i="4"/>
  <c r="B57" i="4"/>
  <c r="C56" i="4"/>
  <c r="B56" i="4"/>
  <c r="C55" i="4"/>
  <c r="B55" i="4"/>
  <c r="C54" i="4"/>
  <c r="B54" i="4"/>
  <c r="E53" i="4"/>
  <c r="C53" i="4"/>
  <c r="B53" i="4"/>
  <c r="B50" i="4"/>
  <c r="C49" i="4"/>
  <c r="B49" i="4"/>
  <c r="C48" i="4"/>
  <c r="B48" i="4"/>
  <c r="C47" i="4"/>
  <c r="B47" i="4"/>
  <c r="C46" i="4"/>
  <c r="B46" i="4"/>
  <c r="C45" i="4"/>
  <c r="B45" i="4"/>
  <c r="C44" i="4"/>
  <c r="B44" i="4"/>
  <c r="C43" i="4"/>
  <c r="B43" i="4"/>
  <c r="E42" i="4"/>
  <c r="C42" i="4"/>
  <c r="B42" i="4"/>
  <c r="J21" i="4"/>
  <c r="H21" i="4"/>
  <c r="J20" i="4"/>
  <c r="H20" i="4"/>
  <c r="E20" i="4"/>
  <c r="K20" i="4" s="1"/>
  <c r="J19" i="4"/>
  <c r="H19" i="4"/>
  <c r="K18" i="4"/>
  <c r="J18" i="4"/>
  <c r="H18" i="4"/>
  <c r="H16" i="4"/>
  <c r="E14" i="4"/>
  <c r="K12" i="4"/>
  <c r="E60" i="4" s="1"/>
  <c r="E12" i="4"/>
  <c r="E49" i="4" s="1"/>
  <c r="K11" i="4"/>
  <c r="E59" i="4" s="1"/>
  <c r="E11" i="4"/>
  <c r="E48" i="4" s="1"/>
  <c r="K10" i="4"/>
  <c r="E58" i="4" s="1"/>
  <c r="E10" i="4"/>
  <c r="E47" i="4" s="1"/>
  <c r="K9" i="4"/>
  <c r="E57" i="4" s="1"/>
  <c r="E9" i="4"/>
  <c r="E46" i="4" s="1"/>
  <c r="K8" i="4"/>
  <c r="E56" i="4" s="1"/>
  <c r="E8" i="4"/>
  <c r="E45" i="4" s="1"/>
  <c r="K7" i="4"/>
  <c r="E55" i="4" s="1"/>
  <c r="E7" i="4"/>
  <c r="E44" i="4" s="1"/>
  <c r="K6" i="4"/>
  <c r="E6" i="4"/>
  <c r="E43" i="4" s="1"/>
  <c r="D46" i="3"/>
  <c r="E45" i="3"/>
  <c r="F45" i="3" s="1"/>
  <c r="E44" i="3"/>
  <c r="F44" i="3" s="1"/>
  <c r="E43" i="3"/>
  <c r="F43" i="3" s="1"/>
  <c r="E42" i="3"/>
  <c r="F42" i="3" s="1"/>
  <c r="E41" i="3"/>
  <c r="F41" i="3" s="1"/>
  <c r="F40" i="3"/>
  <c r="E40" i="3"/>
  <c r="F39" i="3"/>
  <c r="E39" i="3"/>
  <c r="N33" i="3"/>
  <c r="M33" i="3"/>
  <c r="L33" i="3"/>
  <c r="K33" i="3"/>
  <c r="G33" i="3"/>
  <c r="F33" i="3"/>
  <c r="E33" i="3"/>
  <c r="D33" i="3"/>
  <c r="H33" i="3" s="1"/>
  <c r="N32" i="3"/>
  <c r="M32" i="3"/>
  <c r="L32" i="3"/>
  <c r="K32" i="3"/>
  <c r="G32" i="3"/>
  <c r="F32" i="3"/>
  <c r="E32" i="3"/>
  <c r="H32" i="3" s="1"/>
  <c r="D32" i="3"/>
  <c r="N31" i="3"/>
  <c r="M31" i="3"/>
  <c r="L31" i="3"/>
  <c r="K31" i="3"/>
  <c r="O31" i="3" s="1"/>
  <c r="G31" i="3"/>
  <c r="F31" i="3"/>
  <c r="E31" i="3"/>
  <c r="D31" i="3"/>
  <c r="H31" i="3" s="1"/>
  <c r="N30" i="3"/>
  <c r="M30" i="3"/>
  <c r="L30" i="3"/>
  <c r="K30" i="3"/>
  <c r="O30" i="3" s="1"/>
  <c r="G30" i="3"/>
  <c r="F30" i="3"/>
  <c r="E30" i="3"/>
  <c r="H30" i="3" s="1"/>
  <c r="D30" i="3"/>
  <c r="N29" i="3"/>
  <c r="M29" i="3"/>
  <c r="L29" i="3"/>
  <c r="K29" i="3"/>
  <c r="G29" i="3"/>
  <c r="F29" i="3"/>
  <c r="E29" i="3"/>
  <c r="D29" i="3"/>
  <c r="H29" i="3" s="1"/>
  <c r="O28" i="3"/>
  <c r="N28" i="3"/>
  <c r="M28" i="3"/>
  <c r="L28" i="3"/>
  <c r="K28" i="3"/>
  <c r="G28" i="3"/>
  <c r="F28" i="3"/>
  <c r="H28" i="3" s="1"/>
  <c r="E28" i="3"/>
  <c r="D28" i="3"/>
  <c r="N27" i="3"/>
  <c r="M27" i="3"/>
  <c r="L27" i="3"/>
  <c r="K27" i="3"/>
  <c r="G27" i="3"/>
  <c r="F27" i="3"/>
  <c r="E27" i="3"/>
  <c r="D27" i="3"/>
  <c r="H27" i="3" s="1"/>
  <c r="O26" i="3"/>
  <c r="N26" i="3"/>
  <c r="M26" i="3"/>
  <c r="L26" i="3"/>
  <c r="K26" i="3"/>
  <c r="G26" i="3"/>
  <c r="F26" i="3"/>
  <c r="H26" i="3" s="1"/>
  <c r="E26" i="3"/>
  <c r="D26" i="3"/>
  <c r="N25" i="3"/>
  <c r="M25" i="3"/>
  <c r="L25" i="3"/>
  <c r="K25" i="3"/>
  <c r="O25" i="3" s="1"/>
  <c r="G25" i="3"/>
  <c r="F25" i="3"/>
  <c r="E25" i="3"/>
  <c r="D25" i="3"/>
  <c r="O24" i="3"/>
  <c r="N24" i="3"/>
  <c r="M24" i="3"/>
  <c r="L24" i="3"/>
  <c r="K24" i="3"/>
  <c r="H24" i="3"/>
  <c r="G24" i="3"/>
  <c r="F24" i="3"/>
  <c r="E24" i="3"/>
  <c r="D24" i="3"/>
  <c r="N23" i="3"/>
  <c r="M23" i="3"/>
  <c r="L23" i="3"/>
  <c r="K23" i="3"/>
  <c r="O23" i="3" s="1"/>
  <c r="G23" i="3"/>
  <c r="F23" i="3"/>
  <c r="E23" i="3"/>
  <c r="D23" i="3"/>
  <c r="H23" i="3" s="1"/>
  <c r="N22" i="3"/>
  <c r="M22" i="3"/>
  <c r="L22" i="3"/>
  <c r="K22" i="3"/>
  <c r="O22" i="3" s="1"/>
  <c r="G22" i="3"/>
  <c r="F22" i="3"/>
  <c r="E22" i="3"/>
  <c r="D22" i="3"/>
  <c r="H22" i="3" s="1"/>
  <c r="O21" i="3"/>
  <c r="N21" i="3"/>
  <c r="M21" i="3"/>
  <c r="L21" i="3"/>
  <c r="K21" i="3"/>
  <c r="G21" i="3"/>
  <c r="F21" i="3"/>
  <c r="E21" i="3"/>
  <c r="H21" i="3" s="1"/>
  <c r="D21" i="3"/>
  <c r="N20" i="3"/>
  <c r="M20" i="3"/>
  <c r="L20" i="3"/>
  <c r="K20" i="3"/>
  <c r="O20" i="3" s="1"/>
  <c r="G20" i="3"/>
  <c r="F20" i="3"/>
  <c r="E20" i="3"/>
  <c r="D20" i="3"/>
  <c r="N19" i="3"/>
  <c r="M19" i="3"/>
  <c r="L19" i="3"/>
  <c r="O19" i="3" s="1"/>
  <c r="K19" i="3"/>
  <c r="G19" i="3"/>
  <c r="F19" i="3"/>
  <c r="E19" i="3"/>
  <c r="D19" i="3"/>
  <c r="N18" i="3"/>
  <c r="M18" i="3"/>
  <c r="L18" i="3"/>
  <c r="K18" i="3"/>
  <c r="O18" i="3" s="1"/>
  <c r="G18" i="3"/>
  <c r="F18" i="3"/>
  <c r="E18" i="3"/>
  <c r="D18" i="3"/>
  <c r="N17" i="3"/>
  <c r="M17" i="3"/>
  <c r="L17" i="3"/>
  <c r="K17" i="3"/>
  <c r="O17" i="3" s="1"/>
  <c r="G17" i="3"/>
  <c r="F17" i="3"/>
  <c r="E17" i="3"/>
  <c r="E34" i="3" s="1"/>
  <c r="D17" i="3"/>
  <c r="N16" i="3"/>
  <c r="M16" i="3"/>
  <c r="L16" i="3"/>
  <c r="K16" i="3"/>
  <c r="O16" i="3" s="1"/>
  <c r="G16" i="3"/>
  <c r="H16" i="3" s="1"/>
  <c r="F16" i="3"/>
  <c r="E16" i="3"/>
  <c r="D16" i="3"/>
  <c r="N15" i="3"/>
  <c r="M15" i="3"/>
  <c r="L15" i="3"/>
  <c r="O15" i="3" s="1"/>
  <c r="K15" i="3"/>
  <c r="G15" i="3"/>
  <c r="F15" i="3"/>
  <c r="E15" i="3"/>
  <c r="D15" i="3"/>
  <c r="N14" i="3"/>
  <c r="M14" i="3"/>
  <c r="L14" i="3"/>
  <c r="K14" i="3"/>
  <c r="G14" i="3"/>
  <c r="H14" i="3" s="1"/>
  <c r="F14" i="3"/>
  <c r="E14" i="3"/>
  <c r="D14" i="3"/>
  <c r="O13" i="3"/>
  <c r="N13" i="3"/>
  <c r="M13" i="3"/>
  <c r="L13" i="3"/>
  <c r="K13" i="3"/>
  <c r="G13" i="3"/>
  <c r="F13" i="3"/>
  <c r="E13" i="3"/>
  <c r="D13" i="3"/>
  <c r="H13" i="3" s="1"/>
  <c r="N12" i="3"/>
  <c r="M12" i="3"/>
  <c r="L12" i="3"/>
  <c r="K12" i="3"/>
  <c r="O12" i="3" s="1"/>
  <c r="H12" i="3"/>
  <c r="G12" i="3"/>
  <c r="F12" i="3"/>
  <c r="E12" i="3"/>
  <c r="D12" i="3"/>
  <c r="N11" i="3"/>
  <c r="M11" i="3"/>
  <c r="L11" i="3"/>
  <c r="O11" i="3" s="1"/>
  <c r="K11" i="3"/>
  <c r="G11" i="3"/>
  <c r="F11" i="3"/>
  <c r="E11" i="3"/>
  <c r="D11" i="3"/>
  <c r="N10" i="3"/>
  <c r="M10" i="3"/>
  <c r="L10" i="3"/>
  <c r="K10" i="3"/>
  <c r="K34" i="3" s="1"/>
  <c r="G10" i="3"/>
  <c r="F10" i="3"/>
  <c r="E10" i="3"/>
  <c r="D10" i="3"/>
  <c r="M34" i="3" l="1"/>
  <c r="H17" i="3"/>
  <c r="F46" i="3"/>
  <c r="G45" i="3" s="1"/>
  <c r="AL21" i="6"/>
  <c r="AC36" i="6"/>
  <c r="AB36" i="6"/>
  <c r="AA36" i="6"/>
  <c r="Z36" i="6"/>
  <c r="AD36" i="6" s="1"/>
  <c r="AO21" i="6"/>
  <c r="M24" i="6"/>
  <c r="E24" i="6"/>
  <c r="E25" i="6" s="1"/>
  <c r="AN21" i="6"/>
  <c r="L24" i="6"/>
  <c r="L25" i="6" s="1"/>
  <c r="D24" i="6"/>
  <c r="D25" i="6" s="1"/>
  <c r="AM21" i="6"/>
  <c r="L34" i="3"/>
  <c r="O34" i="3" s="1"/>
  <c r="O10" i="3"/>
  <c r="H18" i="3"/>
  <c r="O29" i="3"/>
  <c r="K13" i="4"/>
  <c r="E54" i="4"/>
  <c r="H11" i="3"/>
  <c r="H15" i="3"/>
  <c r="G24" i="6"/>
  <c r="G25" i="6" s="1"/>
  <c r="Q24" i="6"/>
  <c r="Q25" i="6" s="1"/>
  <c r="E70" i="7" s="1"/>
  <c r="D34" i="3"/>
  <c r="N34" i="3"/>
  <c r="G34" i="3"/>
  <c r="H10" i="3"/>
  <c r="O27" i="3"/>
  <c r="O32" i="3"/>
  <c r="H24" i="6"/>
  <c r="H25" i="6" s="1"/>
  <c r="R24" i="6"/>
  <c r="R25" i="6" s="1"/>
  <c r="F70" i="7" s="1"/>
  <c r="F34" i="3"/>
  <c r="H19" i="3"/>
  <c r="H20" i="3"/>
  <c r="H25" i="3"/>
  <c r="O33" i="3"/>
  <c r="E46" i="3"/>
  <c r="S20" i="6"/>
  <c r="S21" i="6" s="1"/>
  <c r="I24" i="6"/>
  <c r="I25" i="6" s="1"/>
  <c r="S24" i="6"/>
  <c r="S25" i="6" s="1"/>
  <c r="G70" i="7" s="1"/>
  <c r="O14" i="3"/>
  <c r="N46" i="8"/>
  <c r="F52" i="8" s="1"/>
  <c r="AH11" i="9"/>
  <c r="F11" i="4"/>
  <c r="F10" i="4" s="1"/>
  <c r="N20" i="4" s="1"/>
  <c r="O22" i="4" s="1"/>
  <c r="S27" i="6"/>
  <c r="T19" i="6"/>
  <c r="V19" i="6"/>
  <c r="P20" i="6" s="1"/>
  <c r="K20" i="6"/>
  <c r="K21" i="6" s="1"/>
  <c r="K28" i="6" s="1"/>
  <c r="D20" i="6"/>
  <c r="D21" i="6" s="1"/>
  <c r="D28" i="6" s="1"/>
  <c r="L20" i="6"/>
  <c r="L21" i="6" s="1"/>
  <c r="L28" i="6" s="1"/>
  <c r="P24" i="6"/>
  <c r="N19" i="6"/>
  <c r="M20" i="6"/>
  <c r="E13" i="4"/>
  <c r="P27" i="6"/>
  <c r="V27" i="6" s="1"/>
  <c r="W27" i="6" s="1"/>
  <c r="G20" i="6"/>
  <c r="G21" i="6" s="1"/>
  <c r="G28" i="6" s="1"/>
  <c r="Q27" i="6"/>
  <c r="H20" i="6"/>
  <c r="H21" i="6" s="1"/>
  <c r="H28" i="6" s="1"/>
  <c r="P20" i="3" l="1"/>
  <c r="P16" i="3"/>
  <c r="P12" i="3"/>
  <c r="P22" i="3"/>
  <c r="P24" i="3"/>
  <c r="P28" i="3"/>
  <c r="P21" i="3"/>
  <c r="P13" i="3"/>
  <c r="P30" i="3"/>
  <c r="P17" i="3"/>
  <c r="P11" i="3"/>
  <c r="P19" i="3"/>
  <c r="P25" i="3"/>
  <c r="P23" i="3"/>
  <c r="P26" i="3"/>
  <c r="P18" i="3"/>
  <c r="P31" i="3"/>
  <c r="P15" i="3"/>
  <c r="P21" i="6"/>
  <c r="G40" i="3"/>
  <c r="P10" i="3"/>
  <c r="P33" i="3"/>
  <c r="F101" i="7"/>
  <c r="F97" i="7"/>
  <c r="F93" i="7"/>
  <c r="F89" i="7"/>
  <c r="F85" i="7"/>
  <c r="F81" i="7"/>
  <c r="F77" i="7"/>
  <c r="F73" i="7"/>
  <c r="F100" i="7"/>
  <c r="F96" i="7"/>
  <c r="F92" i="7"/>
  <c r="F88" i="7"/>
  <c r="F84" i="7"/>
  <c r="F80" i="7"/>
  <c r="F76" i="7"/>
  <c r="F72" i="7"/>
  <c r="F99" i="7"/>
  <c r="F95" i="7"/>
  <c r="F91" i="7"/>
  <c r="F87" i="7"/>
  <c r="F83" i="7"/>
  <c r="F79" i="7"/>
  <c r="F75" i="7"/>
  <c r="F71" i="7"/>
  <c r="F98" i="7"/>
  <c r="F94" i="7"/>
  <c r="F90" i="7"/>
  <c r="F86" i="7"/>
  <c r="F82" i="7"/>
  <c r="F78" i="7"/>
  <c r="F74" i="7"/>
  <c r="H34" i="3"/>
  <c r="I19" i="3" s="1"/>
  <c r="G41" i="3"/>
  <c r="G44" i="3"/>
  <c r="G39" i="3"/>
  <c r="E98" i="7"/>
  <c r="E94" i="7"/>
  <c r="E90" i="7"/>
  <c r="E86" i="7"/>
  <c r="E82" i="7"/>
  <c r="E78" i="7"/>
  <c r="E74" i="7"/>
  <c r="E101" i="7"/>
  <c r="E97" i="7"/>
  <c r="E93" i="7"/>
  <c r="E89" i="7"/>
  <c r="E85" i="7"/>
  <c r="E81" i="7"/>
  <c r="E77" i="7"/>
  <c r="E73" i="7"/>
  <c r="E100" i="7"/>
  <c r="E96" i="7"/>
  <c r="E92" i="7"/>
  <c r="E88" i="7"/>
  <c r="E84" i="7"/>
  <c r="E80" i="7"/>
  <c r="E76" i="7"/>
  <c r="E72" i="7"/>
  <c r="E99" i="7"/>
  <c r="E95" i="7"/>
  <c r="E91" i="7"/>
  <c r="E87" i="7"/>
  <c r="E83" i="7"/>
  <c r="E79" i="7"/>
  <c r="E75" i="7"/>
  <c r="E71" i="7"/>
  <c r="P29" i="3"/>
  <c r="D35" i="4"/>
  <c r="E50" i="4"/>
  <c r="G38" i="4"/>
  <c r="AO24" i="6"/>
  <c r="AG24" i="6"/>
  <c r="AN24" i="6"/>
  <c r="AF24" i="6"/>
  <c r="AM24" i="6"/>
  <c r="AE24" i="6"/>
  <c r="F20" i="6"/>
  <c r="F21" i="6" s="1"/>
  <c r="F28" i="6" s="1"/>
  <c r="AL24" i="6"/>
  <c r="AD24" i="6"/>
  <c r="AC24" i="6"/>
  <c r="AJ24" i="6"/>
  <c r="AB24" i="6"/>
  <c r="AI24" i="6"/>
  <c r="AA24" i="6"/>
  <c r="AH24" i="6"/>
  <c r="R20" i="6"/>
  <c r="R21" i="6" s="1"/>
  <c r="I20" i="6"/>
  <c r="I21" i="6" s="1"/>
  <c r="I28" i="6" s="1"/>
  <c r="P32" i="3"/>
  <c r="AP21" i="6"/>
  <c r="AQ21" i="6" s="1"/>
  <c r="M21" i="6"/>
  <c r="J20" i="6"/>
  <c r="J21" i="6" s="1"/>
  <c r="J28" i="6" s="1"/>
  <c r="P14" i="3"/>
  <c r="P27" i="3"/>
  <c r="Q20" i="6"/>
  <c r="Q21" i="6" s="1"/>
  <c r="J35" i="4"/>
  <c r="E61" i="4"/>
  <c r="K14" i="4"/>
  <c r="I18" i="3"/>
  <c r="T24" i="6"/>
  <c r="P25" i="6"/>
  <c r="T70" i="7"/>
  <c r="S28" i="6"/>
  <c r="E20" i="6"/>
  <c r="E21" i="6" s="1"/>
  <c r="E28" i="6" s="1"/>
  <c r="G101" i="7"/>
  <c r="G97" i="7"/>
  <c r="G93" i="7"/>
  <c r="G89" i="7"/>
  <c r="G85" i="7"/>
  <c r="G81" i="7"/>
  <c r="G77" i="7"/>
  <c r="G73" i="7"/>
  <c r="G100" i="7"/>
  <c r="G96" i="7"/>
  <c r="G92" i="7"/>
  <c r="G88" i="7"/>
  <c r="G84" i="7"/>
  <c r="G80" i="7"/>
  <c r="G76" i="7"/>
  <c r="G72" i="7"/>
  <c r="G99" i="7"/>
  <c r="G95" i="7"/>
  <c r="G91" i="7"/>
  <c r="G87" i="7"/>
  <c r="G83" i="7"/>
  <c r="G79" i="7"/>
  <c r="G75" i="7"/>
  <c r="G71" i="7"/>
  <c r="G98" i="7"/>
  <c r="G94" i="7"/>
  <c r="G90" i="7"/>
  <c r="G86" i="7"/>
  <c r="G82" i="7"/>
  <c r="G78" i="7"/>
  <c r="G74" i="7"/>
  <c r="G43" i="3"/>
  <c r="G42" i="3"/>
  <c r="M25" i="6"/>
  <c r="N25" i="6" s="1"/>
  <c r="N24" i="6"/>
  <c r="R28" i="6" l="1"/>
  <c r="S70" i="7"/>
  <c r="I11" i="3"/>
  <c r="M28" i="6"/>
  <c r="V28" i="6" s="1"/>
  <c r="N21" i="6"/>
  <c r="Q10" i="3"/>
  <c r="Q28" i="3"/>
  <c r="L11" i="4"/>
  <c r="L10" i="4" s="1"/>
  <c r="Q20" i="4" s="1"/>
  <c r="R22" i="4" s="1"/>
  <c r="I15" i="3"/>
  <c r="F59" i="4"/>
  <c r="F57" i="4"/>
  <c r="F55" i="4"/>
  <c r="F60" i="4"/>
  <c r="F58" i="4"/>
  <c r="F56" i="4"/>
  <c r="F54" i="4"/>
  <c r="I10" i="3"/>
  <c r="F43" i="4"/>
  <c r="F48" i="4"/>
  <c r="F46" i="4"/>
  <c r="F44" i="4"/>
  <c r="F49" i="4"/>
  <c r="F47" i="4"/>
  <c r="F45" i="4"/>
  <c r="AP24" i="6"/>
  <c r="Q28" i="6"/>
  <c r="R70" i="7"/>
  <c r="I17" i="3"/>
  <c r="I25" i="3"/>
  <c r="P28" i="6"/>
  <c r="T21" i="6"/>
  <c r="Q70" i="7"/>
  <c r="Q22" i="3"/>
  <c r="T98" i="7"/>
  <c r="T94" i="7"/>
  <c r="T90" i="7"/>
  <c r="T86" i="7"/>
  <c r="T82" i="7"/>
  <c r="T78" i="7"/>
  <c r="T74" i="7"/>
  <c r="T101" i="7"/>
  <c r="T97" i="7"/>
  <c r="T93" i="7"/>
  <c r="T89" i="7"/>
  <c r="T85" i="7"/>
  <c r="T81" i="7"/>
  <c r="T77" i="7"/>
  <c r="T73" i="7"/>
  <c r="T100" i="7"/>
  <c r="T96" i="7"/>
  <c r="T92" i="7"/>
  <c r="T88" i="7"/>
  <c r="T84" i="7"/>
  <c r="T80" i="7"/>
  <c r="T76" i="7"/>
  <c r="T72" i="7"/>
  <c r="T99" i="7"/>
  <c r="T95" i="7"/>
  <c r="T91" i="7"/>
  <c r="T87" i="7"/>
  <c r="T83" i="7"/>
  <c r="T79" i="7"/>
  <c r="T75" i="7"/>
  <c r="T71" i="7"/>
  <c r="T20" i="6"/>
  <c r="D70" i="7"/>
  <c r="T25" i="6"/>
  <c r="V25" i="6" s="1"/>
  <c r="AK24" i="6"/>
  <c r="Q16" i="3"/>
  <c r="H36" i="3"/>
  <c r="I24" i="3"/>
  <c r="I29" i="3"/>
  <c r="I22" i="3"/>
  <c r="I33" i="3"/>
  <c r="I16" i="3"/>
  <c r="I12" i="3"/>
  <c r="I23" i="3"/>
  <c r="I13" i="3"/>
  <c r="I26" i="3"/>
  <c r="I14" i="3"/>
  <c r="I31" i="3"/>
  <c r="I28" i="3"/>
  <c r="I21" i="3"/>
  <c r="I30" i="3"/>
  <c r="I27" i="3"/>
  <c r="I32" i="3"/>
  <c r="N20" i="6"/>
  <c r="V24" i="6"/>
  <c r="I20" i="3"/>
  <c r="J36" i="3" l="1"/>
  <c r="R99" i="7"/>
  <c r="R95" i="7"/>
  <c r="R91" i="7"/>
  <c r="R87" i="7"/>
  <c r="R83" i="7"/>
  <c r="R79" i="7"/>
  <c r="R75" i="7"/>
  <c r="R71" i="7"/>
  <c r="R98" i="7"/>
  <c r="R94" i="7"/>
  <c r="R90" i="7"/>
  <c r="R86" i="7"/>
  <c r="R82" i="7"/>
  <c r="R78" i="7"/>
  <c r="R74" i="7"/>
  <c r="R101" i="7"/>
  <c r="R97" i="7"/>
  <c r="R93" i="7"/>
  <c r="R89" i="7"/>
  <c r="R85" i="7"/>
  <c r="R81" i="7"/>
  <c r="R77" i="7"/>
  <c r="R73" i="7"/>
  <c r="R100" i="7"/>
  <c r="R96" i="7"/>
  <c r="R92" i="7"/>
  <c r="R88" i="7"/>
  <c r="R84" i="7"/>
  <c r="R80" i="7"/>
  <c r="R76" i="7"/>
  <c r="R72" i="7"/>
  <c r="K36" i="3"/>
  <c r="V20" i="6"/>
  <c r="AQ24" i="6"/>
  <c r="I36" i="3"/>
  <c r="D98" i="7"/>
  <c r="H98" i="7" s="1"/>
  <c r="D94" i="7"/>
  <c r="H94" i="7" s="1"/>
  <c r="D90" i="7"/>
  <c r="H90" i="7" s="1"/>
  <c r="D86" i="7"/>
  <c r="H86" i="7" s="1"/>
  <c r="D82" i="7"/>
  <c r="H82" i="7" s="1"/>
  <c r="D78" i="7"/>
  <c r="H78" i="7" s="1"/>
  <c r="D74" i="7"/>
  <c r="H74" i="7" s="1"/>
  <c r="D101" i="7"/>
  <c r="H101" i="7" s="1"/>
  <c r="D97" i="7"/>
  <c r="H97" i="7" s="1"/>
  <c r="D93" i="7"/>
  <c r="H93" i="7" s="1"/>
  <c r="D89" i="7"/>
  <c r="H89" i="7" s="1"/>
  <c r="D85" i="7"/>
  <c r="H85" i="7" s="1"/>
  <c r="D81" i="7"/>
  <c r="H81" i="7" s="1"/>
  <c r="D77" i="7"/>
  <c r="H77" i="7" s="1"/>
  <c r="D73" i="7"/>
  <c r="H73" i="7" s="1"/>
  <c r="D100" i="7"/>
  <c r="H100" i="7" s="1"/>
  <c r="D96" i="7"/>
  <c r="H96" i="7" s="1"/>
  <c r="D92" i="7"/>
  <c r="H92" i="7" s="1"/>
  <c r="D88" i="7"/>
  <c r="H88" i="7" s="1"/>
  <c r="D84" i="7"/>
  <c r="H84" i="7" s="1"/>
  <c r="D80" i="7"/>
  <c r="H80" i="7" s="1"/>
  <c r="D76" i="7"/>
  <c r="H76" i="7" s="1"/>
  <c r="D72" i="7"/>
  <c r="H72" i="7" s="1"/>
  <c r="H70" i="7"/>
  <c r="D99" i="7"/>
  <c r="H99" i="7" s="1"/>
  <c r="D95" i="7"/>
  <c r="H95" i="7" s="1"/>
  <c r="D91" i="7"/>
  <c r="H91" i="7" s="1"/>
  <c r="D87" i="7"/>
  <c r="H87" i="7" s="1"/>
  <c r="D83" i="7"/>
  <c r="H83" i="7" s="1"/>
  <c r="D79" i="7"/>
  <c r="H79" i="7" s="1"/>
  <c r="D75" i="7"/>
  <c r="H75" i="7" s="1"/>
  <c r="D71" i="7"/>
  <c r="H71" i="7" s="1"/>
  <c r="Q100" i="7"/>
  <c r="Q96" i="7"/>
  <c r="Q92" i="7"/>
  <c r="Q88" i="7"/>
  <c r="Q84" i="7"/>
  <c r="Q80" i="7"/>
  <c r="Q76" i="7"/>
  <c r="Q72" i="7"/>
  <c r="U70" i="7"/>
  <c r="Q99" i="7"/>
  <c r="Q95" i="7"/>
  <c r="Q91" i="7"/>
  <c r="Q87" i="7"/>
  <c r="Q83" i="7"/>
  <c r="Q79" i="7"/>
  <c r="Q75" i="7"/>
  <c r="Q71" i="7"/>
  <c r="Q98" i="7"/>
  <c r="Q94" i="7"/>
  <c r="Q90" i="7"/>
  <c r="Q86" i="7"/>
  <c r="Q82" i="7"/>
  <c r="Q78" i="7"/>
  <c r="Q74" i="7"/>
  <c r="Q101" i="7"/>
  <c r="Q97" i="7"/>
  <c r="Q93" i="7"/>
  <c r="Q89" i="7"/>
  <c r="U89" i="7" s="1"/>
  <c r="Q85" i="7"/>
  <c r="Q81" i="7"/>
  <c r="Q77" i="7"/>
  <c r="Q73" i="7"/>
  <c r="G54" i="4"/>
  <c r="K19" i="4" s="1"/>
  <c r="L20" i="4" s="1"/>
  <c r="S99" i="7"/>
  <c r="S95" i="7"/>
  <c r="S91" i="7"/>
  <c r="S87" i="7"/>
  <c r="S83" i="7"/>
  <c r="S79" i="7"/>
  <c r="S75" i="7"/>
  <c r="S71" i="7"/>
  <c r="S98" i="7"/>
  <c r="S94" i="7"/>
  <c r="S90" i="7"/>
  <c r="S86" i="7"/>
  <c r="S82" i="7"/>
  <c r="S78" i="7"/>
  <c r="S74" i="7"/>
  <c r="S101" i="7"/>
  <c r="S97" i="7"/>
  <c r="S93" i="7"/>
  <c r="S89" i="7"/>
  <c r="S85" i="7"/>
  <c r="S81" i="7"/>
  <c r="S77" i="7"/>
  <c r="S73" i="7"/>
  <c r="S100" i="7"/>
  <c r="S96" i="7"/>
  <c r="S92" i="7"/>
  <c r="S88" i="7"/>
  <c r="S84" i="7"/>
  <c r="S80" i="7"/>
  <c r="S76" i="7"/>
  <c r="S72" i="7"/>
  <c r="J37" i="3"/>
  <c r="I37" i="3"/>
  <c r="V21" i="6"/>
  <c r="G43" i="4"/>
  <c r="E19" i="4" s="1"/>
  <c r="F20" i="4" s="1"/>
  <c r="U88" i="7" l="1"/>
  <c r="U93" i="7"/>
  <c r="U94" i="7"/>
  <c r="U95" i="7"/>
  <c r="U92" i="7"/>
  <c r="U90" i="7"/>
  <c r="U97" i="7"/>
  <c r="U98" i="7"/>
  <c r="U99" i="7"/>
  <c r="U96" i="7"/>
  <c r="U100" i="7"/>
  <c r="U73" i="7"/>
  <c r="U74" i="7"/>
  <c r="U75" i="7"/>
  <c r="U72" i="7"/>
  <c r="U71" i="7"/>
  <c r="U77" i="7"/>
  <c r="U78" i="7"/>
  <c r="U79" i="7"/>
  <c r="U76" i="7"/>
  <c r="U91" i="7"/>
  <c r="U81" i="7"/>
  <c r="U82" i="7"/>
  <c r="U83" i="7"/>
  <c r="U80" i="7"/>
  <c r="U101" i="7"/>
  <c r="U85" i="7"/>
  <c r="U86" i="7"/>
  <c r="U87" i="7"/>
  <c r="U84" i="7"/>
</calcChain>
</file>

<file path=xl/sharedStrings.xml><?xml version="1.0" encoding="utf-8"?>
<sst xmlns="http://schemas.openxmlformats.org/spreadsheetml/2006/main" count="692" uniqueCount="256">
  <si>
    <t>ANEXO</t>
  </si>
  <si>
    <t>ESTUDIO DE TRÁFICO Y PROYECCIONES DE TRÁFICO</t>
  </si>
  <si>
    <t>AUTOR</t>
  </si>
  <si>
    <t>MAURICIO ANDRÉS CORONEL EGAS</t>
  </si>
  <si>
    <t>FUENTE</t>
  </si>
  <si>
    <t>INDICADAS EN CADA HOJA</t>
  </si>
  <si>
    <t>DISERTACIÓN</t>
  </si>
  <si>
    <t>MOVILIDAD Y TRANSPORTE E IMPLEMENTACIÓN DE CONTROLES FRONTERIZOS. CASO DE ESTUDIO: CENTRO BINACIONAL DE ATENCIÓN EN FRONTERA (CEBAF) LÍMITE ECUADOR - COLOMBIA</t>
  </si>
  <si>
    <t>AÑO</t>
  </si>
  <si>
    <r>
      <rPr>
        <b/>
        <sz val="11"/>
        <color theme="1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>Nota</t>
    </r>
  </si>
  <si>
    <t>El procesamiento realizado se basa en datos obtenidos a partir del conteo manual vehicular realizado por Hidroplan incluido en el Estudio de Tráfico de Hidroplan Cia. Ltda. realizado en el 2017 que se observa en las pestañas Conteos manuales y %Composición de tráfico. Las siguientes pestañas muestran el estudio de autoria propia.</t>
  </si>
  <si>
    <t>ECU-COL</t>
  </si>
  <si>
    <t>COL-ECU</t>
  </si>
  <si>
    <t>SENTIDO ECUADOR - COLOMBIA</t>
  </si>
  <si>
    <t>SENTIDO COLOMBIA - ECUADOR</t>
  </si>
  <si>
    <t>HORA</t>
  </si>
  <si>
    <t>2 EJES</t>
  </si>
  <si>
    <t>3 EJES</t>
  </si>
  <si>
    <t>4 - 5 EJES</t>
  </si>
  <si>
    <t>6 EJES O MAS</t>
  </si>
  <si>
    <t>Total</t>
  </si>
  <si>
    <t>00:00 - 01:00</t>
  </si>
  <si>
    <t>01:00 - 02:00</t>
  </si>
  <si>
    <t>02:00 - 03:00</t>
  </si>
  <si>
    <t>03:00 - 04:00</t>
  </si>
  <si>
    <t>04:00 - 05;00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</si>
  <si>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</si>
  <si>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</si>
  <si>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</si>
  <si>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</si>
  <si>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</si>
  <si>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</si>
  <si>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</si>
  <si>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</si>
  <si>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</si>
  <si>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</si>
  <si>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</si>
  <si>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</si>
  <si>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</si>
  <si>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</si>
  <si>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</si>
  <si>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</si>
  <si>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</si>
  <si>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</si>
  <si>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</si>
  <si>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TOTAL</t>
  </si>
  <si>
    <t>Día de la semana</t>
  </si>
  <si>
    <t>Vehículos contabilizados</t>
  </si>
  <si>
    <t>Lunes</t>
  </si>
  <si>
    <t>Martes</t>
  </si>
  <si>
    <t>Miércoles</t>
  </si>
  <si>
    <t>Jueves</t>
  </si>
  <si>
    <t>Viernes</t>
  </si>
  <si>
    <t>Sábado</t>
  </si>
  <si>
    <t>Domingo</t>
  </si>
  <si>
    <t>Síntesis Volumen Diario de trafico pesado</t>
  </si>
  <si>
    <t>Estación N1</t>
  </si>
  <si>
    <t>Estación N2</t>
  </si>
  <si>
    <t>Dia</t>
  </si>
  <si>
    <t>Ubicación</t>
  </si>
  <si>
    <t>Sentido</t>
  </si>
  <si>
    <t>Total diario</t>
  </si>
  <si>
    <t>Ecuador</t>
  </si>
  <si>
    <t>Col-Ecu</t>
  </si>
  <si>
    <t>Colombia</t>
  </si>
  <si>
    <t>Ecu-Col</t>
  </si>
  <si>
    <t>Volumen promedio Diario</t>
  </si>
  <si>
    <t>Factores para determinar TPDA</t>
  </si>
  <si>
    <t>Factor horario</t>
  </si>
  <si>
    <t>Fh</t>
  </si>
  <si>
    <t>Factor diario</t>
  </si>
  <si>
    <t>Fd</t>
  </si>
  <si>
    <t>Factor Semana</t>
  </si>
  <si>
    <t>Fs</t>
  </si>
  <si>
    <t>Factor Mes</t>
  </si>
  <si>
    <t>Fm</t>
  </si>
  <si>
    <t>TPDA</t>
  </si>
  <si>
    <t>Determinación de Factores de trafico horario</t>
  </si>
  <si>
    <t>No necesito factores de trafico horario porque el levantamiento de datos se lo realizo las 24 hrs.</t>
  </si>
  <si>
    <t>Determinación de Factores de trafico diario</t>
  </si>
  <si>
    <t>TPDS(N1)=</t>
  </si>
  <si>
    <t>TPDS(N2)=</t>
  </si>
  <si>
    <t>TotalConteo</t>
  </si>
  <si>
    <t>FD</t>
  </si>
  <si>
    <t>Fdpromedio</t>
  </si>
  <si>
    <t>Fd Promedi</t>
  </si>
  <si>
    <t>Determinación de Factores de trafico semanal</t>
  </si>
  <si>
    <t>Mes</t>
  </si>
  <si>
    <t>N° Días</t>
  </si>
  <si>
    <t>N° Semanas</t>
  </si>
  <si>
    <t>Factor Semanal (Fs)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</si>
  <si>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</si>
  <si>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</si>
  <si>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</si>
  <si>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</si>
  <si>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</si>
  <si>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</si>
  <si>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</si>
  <si>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</si>
  <si>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</si>
  <si>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</si>
  <si>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</si>
  <si>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</si>
  <si>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Fd promedio</t>
  </si>
  <si>
    <t>Movimiento</t>
  </si>
  <si>
    <t>TRAFICO PROMEDIO DIARIO ANUAL POR TRAMOS Y POR MOVIMIENTOS</t>
  </si>
  <si>
    <t>TPDA = VOLUMEN DIARIO*Fh*Fd*Fs*Fm</t>
  </si>
  <si>
    <t xml:space="preserve">Movimiento </t>
  </si>
  <si>
    <t>TPDA año 2017</t>
  </si>
  <si>
    <t>Colombia - Ecuador</t>
  </si>
  <si>
    <t>Ecuador - Colombia</t>
  </si>
  <si>
    <t>COMPOSICION DEL TRAFICO POR TRAMO EN PORCENTAJE (%) AÑO 2017</t>
  </si>
  <si>
    <t>V E H I C U L O S    L I V  I A N O S</t>
  </si>
  <si>
    <t>B U S E S</t>
  </si>
  <si>
    <t>N.M.</t>
  </si>
  <si>
    <t>V E H I C U L O S   P E S A D O S</t>
  </si>
  <si>
    <t>TOTAL vehículos</t>
  </si>
  <si>
    <t>VEHÍCULOS LIVIANOS</t>
  </si>
  <si>
    <t>BUSES</t>
  </si>
  <si>
    <t>OTROS</t>
  </si>
  <si>
    <t>VEHÍCULOS PESADOS</t>
  </si>
  <si>
    <t>MOTOS</t>
  </si>
  <si>
    <t>AUTOMOVIL</t>
  </si>
  <si>
    <t>CAMIONETA</t>
  </si>
  <si>
    <t>SUV - JEEP</t>
  </si>
  <si>
    <t>VAN</t>
  </si>
  <si>
    <t>TAXIS</t>
  </si>
  <si>
    <t>BUSETAS</t>
  </si>
  <si>
    <t>BICILETAS</t>
  </si>
  <si>
    <t>Total vehículos pasajeros</t>
  </si>
  <si>
    <t>Total vehículos pesados</t>
  </si>
  <si>
    <t>Tipo</t>
  </si>
  <si>
    <t>N.E.</t>
  </si>
  <si>
    <t>2D</t>
  </si>
  <si>
    <t>2DB</t>
  </si>
  <si>
    <t>3A</t>
  </si>
  <si>
    <t>3S1</t>
  </si>
  <si>
    <t>2R2</t>
  </si>
  <si>
    <t>Colombia - Ecuador (semana)</t>
  </si>
  <si>
    <t>TRÁFICO SEMANAL EN ESTACIÓN DE COLOMBIA (SENTIDO ECUADOR - COLOMBIA)</t>
  </si>
  <si>
    <t>Composición de Trafico</t>
  </si>
  <si>
    <t>Ecuador - Colombia (semana)</t>
  </si>
  <si>
    <t>TRÁFICO SEMANAL EN ESTACIÓN DE ECUADOR (SENTIDO COLOMBIA - ECUADOR)</t>
  </si>
  <si>
    <t>Composición de Tráfico</t>
  </si>
  <si>
    <t>TPDS 2 Mov</t>
  </si>
  <si>
    <t>Suma Conteo semanal</t>
  </si>
  <si>
    <t>TPDA Total</t>
  </si>
  <si>
    <t>FUENTE: ESTUDIO DE TRÁFICO HIDROPLAN 2017</t>
  </si>
  <si>
    <t>N° Ejes</t>
  </si>
  <si>
    <t>6 EJES O MÁS</t>
  </si>
  <si>
    <t>TPDA SENTIDO ECUADOR - COLOMBIA</t>
  </si>
  <si>
    <t>TPDA SENTIDO COLOMBIA - ECUADOR</t>
  </si>
  <si>
    <t>TPDA Global</t>
  </si>
  <si>
    <t>TASAS DE CRECIMIENTO Y PROYECCIÓN DE TRÁFICO VEHÍCULOS PESADOS RUMICHACA</t>
  </si>
  <si>
    <t>FUENTE: ADAPTADO DE ESTUDIO DE TRÁFICO DE HIDROPLAN</t>
  </si>
  <si>
    <t>Tasas de Crecimiento para Ecuador</t>
  </si>
  <si>
    <t>TASA DE CRECIMIENTO ECU</t>
  </si>
  <si>
    <t>TASA DE CRECIMIENTO COL</t>
  </si>
  <si>
    <t>FUENTE: ESTUDIO DE TRÁFICO HIDROPLAN, 2017</t>
  </si>
  <si>
    <t>TASA DE CRECIMIENTO PARA VEHICULOS PESADOS*</t>
  </si>
  <si>
    <t>Tasa de crecimiento polinómico de 2° Grado</t>
  </si>
  <si>
    <t>Tasa de crecimiento polinómico de 3° Grado</t>
  </si>
  <si>
    <t>%</t>
  </si>
  <si>
    <t>* Determinada por PIB del periodo 2004-2017</t>
  </si>
  <si>
    <t>TPDA   2017-2048</t>
  </si>
  <si>
    <t>VEHÍCULOS PESADOS SENTIDO ECUADOR-COLOMBIA</t>
  </si>
  <si>
    <t>VEHÍCULOS PESADOS SENTIDO COLOMBIA-ECUADOR</t>
  </si>
  <si>
    <t>Año</t>
  </si>
  <si>
    <t>Clasificación</t>
  </si>
  <si>
    <t>4 y 5 EJES</t>
  </si>
  <si>
    <t>CONSUMO DE COMBUSTIBLE ECUADOR EN GALONES DE 2005 A 2015</t>
  </si>
  <si>
    <t>VOLUMENES FACTURADOS POR PETROECUADOR PARA CARCHI PERIODO 2005-2015 (galones)</t>
  </si>
  <si>
    <t>FUENTE: ESTADÍSTICAS DEL BANCO CENTRAL DEL ECUADOR</t>
  </si>
  <si>
    <t>MES</t>
  </si>
  <si>
    <t>Tip. Combustible</t>
  </si>
  <si>
    <t>AÑO 2005</t>
  </si>
  <si>
    <t>AÑO 2006</t>
  </si>
  <si>
    <t>AÑO 2007</t>
  </si>
  <si>
    <t>AÑO 2008</t>
  </si>
  <si>
    <t>AÑO 2009</t>
  </si>
  <si>
    <t>AÑO 2010</t>
  </si>
  <si>
    <t>AÑO 2011</t>
  </si>
  <si>
    <t>AÑO 2012</t>
  </si>
  <si>
    <t>AÑO 2013</t>
  </si>
  <si>
    <t>AÑO 2014</t>
  </si>
  <si>
    <t>AÑO 2015</t>
  </si>
  <si>
    <t>AÑO 2016</t>
  </si>
  <si>
    <t>AÑO 2017</t>
  </si>
  <si>
    <t>https://contenido.bce.fin.ec/documentos/Estadisticas/Hidrocarburos/indice.htm</t>
  </si>
  <si>
    <t>ENERO</t>
  </si>
  <si>
    <t>Gasolina Super</t>
  </si>
  <si>
    <t>Gasolina Extra</t>
  </si>
  <si>
    <t>Diesel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</si>
  <si>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</si>
  <si>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</si>
  <si>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</si>
  <si>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</si>
  <si>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</si>
  <si>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</si>
  <si>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</si>
  <si>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</si>
  <si>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</si>
  <si>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</si>
  <si>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</si>
  <si>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mensual promedio</t>
  </si>
  <si>
    <t>FUENTE: Banco Central del Ecuador,  Cifras del sector petrolero 2005-2016</t>
  </si>
  <si>
    <t>FACTOR MARZO</t>
  </si>
  <si>
    <t>FACTOR ANUAL PROMEDIO</t>
  </si>
  <si>
    <t>FACTORES PARA DETERMINAR TPDA</t>
  </si>
  <si>
    <t>FACTOR</t>
  </si>
  <si>
    <t>FACTOR SEMANA</t>
  </si>
  <si>
    <t>FM</t>
  </si>
  <si>
    <t>FACTOR MES</t>
  </si>
  <si>
    <t>CONSUMO DE COMBUSTIBLE COLOMBIA EN GALONES DE 1996 A 2017</t>
  </si>
  <si>
    <t>Fuente: Sistema de Informacion de Petroleo y Gas, SIPG. Recuperado de: http://www.sipg.gov.co, sipg Colombia</t>
  </si>
  <si>
    <t>Consumo Combustibles Colombia a Nivel Nacional (Barriles)</t>
  </si>
  <si>
    <t>Diésel (ACPM)</t>
  </si>
  <si>
    <t>Fm Marzo</t>
  </si>
  <si>
    <t>Fm Promed</t>
  </si>
  <si>
    <t>BDC</t>
  </si>
  <si>
    <t> 2005</t>
  </si>
  <si>
    <t> 2006</t>
  </si>
  <si>
    <t> 1997</t>
  </si>
  <si>
    <t> 2007</t>
  </si>
  <si>
    <t> 1998</t>
  </si>
  <si>
    <t> 2008</t>
  </si>
  <si>
    <t> 1999</t>
  </si>
  <si>
    <t> 2009</t>
  </si>
  <si>
    <t> 2000</t>
  </si>
  <si>
    <t> 2010</t>
  </si>
  <si>
    <t> 2001</t>
  </si>
  <si>
    <t> 2011</t>
  </si>
  <si>
    <t> 2002</t>
  </si>
  <si>
    <t> 2012</t>
  </si>
  <si>
    <t> 2003</t>
  </si>
  <si>
    <t> 2013</t>
  </si>
  <si>
    <t> 2004</t>
  </si>
  <si>
    <t> 2014</t>
  </si>
  <si>
    <t> 2015</t>
  </si>
  <si>
    <t> 2016</t>
  </si>
  <si>
    <t> 2017</t>
  </si>
  <si>
    <t>Gasolina Motor Regular</t>
  </si>
  <si>
    <t> 1996</t>
  </si>
  <si>
    <t>CONTABILIZACIÓN HORARIA DE VEHÍCULOS PESADOS</t>
  </si>
  <si>
    <t>Adaptado de:</t>
  </si>
  <si>
    <t>Conteo vehícular de Hidroplan Cía Ltda.</t>
  </si>
  <si>
    <t>COMPOSICIÓN DEL TRÁFICO VEHICULAR PESADO</t>
  </si>
  <si>
    <t>SENTIDO ECUADOR  -  COLOMBIA</t>
  </si>
  <si>
    <t>CLASIFICACIÓN</t>
  </si>
  <si>
    <t>2 Ejes</t>
  </si>
  <si>
    <t>3 Ejes</t>
  </si>
  <si>
    <t>4 - 5 Ejes</t>
  </si>
  <si>
    <t xml:space="preserve">6 Ejes o más </t>
  </si>
  <si>
    <t>CONTEO 2017</t>
  </si>
  <si>
    <t>COMPOSICIÓN</t>
  </si>
  <si>
    <t>COLOMBIA  -  ECUADOR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</si>
</sst>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"/>
    <numFmt numFmtId="165" formatCode="#,##0.0"/>
    <numFmt numFmtId="166" formatCode="0.000"/>
    <numFmt numFmtId="167" formatCode="0.0%"/>
    <numFmt numFmtId="168" formatCode="_(* #,##0.00_);_(* \(#,##0.00\);_(* &quot;-&quot;??_);_(@_)"/>
    <numFmt numFmtId="169" formatCode="_(* #,##0_);_(* \(#,##0\);_(* &quot;-&quot;??_);_(@_)"/>
    <numFmt numFmtId="170" formatCode="0.00000"/>
    <numFmt numFmtId="171" formatCode="0.000000"/>
    <numFmt numFmtId="172" formatCode="0.0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5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Verdana"/>
      <family val="2"/>
    </font>
    <font>
      <sz val="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Arial"/>
      <family val="2"/>
    </font>
    <font>
      <b/>
      <sz val="9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6"/>
      <name val="Calibri"/>
      <family val="2"/>
      <scheme val="minor"/>
    </font>
    <font>
      <b/>
      <sz val="15"/>
      <name val="Arial"/>
      <family val="2"/>
    </font>
    <font>
      <sz val="10"/>
      <name val="Calibri"/>
      <family val="2"/>
      <scheme val="minor"/>
    </font>
    <font>
      <sz val="8.5"/>
      <name val="Tahoma"/>
      <family val="2"/>
    </font>
    <font>
      <sz val="11"/>
      <color rgb="FF000000"/>
      <name val="Calibri"/>
      <family val="2"/>
      <scheme val="minor"/>
    </font>
    <font>
      <b/>
      <sz val="8.5"/>
      <name val="Tahoma"/>
      <family val="2"/>
    </font>
    <font>
      <sz val="8.5"/>
      <color rgb="FF333333"/>
      <name val="Tahoma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AFCFC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68" fontId="1" fillId="0" borderId="0" applyFont="0" applyFill="0" applyBorder="0" applyAlignment="0" applyProtection="0"/>
  </cellStyleXfs>
  <cellXfs count="279">
    <xf numFmtId="0" fontId="0" fillId="0" borderId="0" xfId="0"/>
    <xf numFmtId="0" fontId="3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165" fontId="0" fillId="0" borderId="0" xfId="0" applyNumberForma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0" fontId="0" fillId="3" borderId="1" xfId="0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1" fillId="3" borderId="0" xfId="0" applyFont="1" applyFill="1" applyAlignment="1">
      <alignment horizontal="center"/>
    </xf>
    <xf numFmtId="0" fontId="12" fillId="3" borderId="0" xfId="0" applyFont="1" applyFill="1"/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/>
    </xf>
    <xf numFmtId="4" fontId="12" fillId="3" borderId="0" xfId="0" applyNumberFormat="1" applyFont="1" applyFill="1"/>
    <xf numFmtId="4" fontId="12" fillId="3" borderId="0" xfId="0" applyNumberFormat="1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4" fontId="12" fillId="3" borderId="1" xfId="0" applyNumberFormat="1" applyFont="1" applyFill="1" applyBorder="1" applyAlignment="1">
      <alignment horizontal="center" vertical="center"/>
    </xf>
    <xf numFmtId="1" fontId="12" fillId="3" borderId="2" xfId="0" applyNumberFormat="1" applyFont="1" applyFill="1" applyBorder="1" applyAlignment="1">
      <alignment horizontal="center" vertical="center"/>
    </xf>
    <xf numFmtId="1" fontId="12" fillId="3" borderId="1" xfId="0" applyNumberFormat="1" applyFont="1" applyFill="1" applyBorder="1" applyAlignment="1">
      <alignment horizontal="center" vertical="center"/>
    </xf>
    <xf numFmtId="166" fontId="12" fillId="3" borderId="0" xfId="0" applyNumberFormat="1" applyFont="1" applyFill="1"/>
    <xf numFmtId="0" fontId="12" fillId="3" borderId="0" xfId="0" applyFont="1" applyFill="1" applyAlignment="1">
      <alignment horizontal="left"/>
    </xf>
    <xf numFmtId="0" fontId="11" fillId="3" borderId="0" xfId="0" applyFont="1" applyFill="1"/>
    <xf numFmtId="0" fontId="12" fillId="3" borderId="0" xfId="0" applyFont="1" applyFill="1" applyAlignment="1">
      <alignment horizontal="center" vertical="center" wrapText="1"/>
    </xf>
    <xf numFmtId="2" fontId="12" fillId="3" borderId="0" xfId="0" applyNumberFormat="1" applyFont="1" applyFill="1" applyAlignment="1">
      <alignment horizontal="right"/>
    </xf>
    <xf numFmtId="2" fontId="12" fillId="3" borderId="0" xfId="0" applyNumberFormat="1" applyFont="1" applyFill="1"/>
    <xf numFmtId="0" fontId="7" fillId="3" borderId="1" xfId="0" applyFont="1" applyFill="1" applyBorder="1" applyAlignment="1">
      <alignment horizontal="center" vertical="center" wrapText="1"/>
    </xf>
    <xf numFmtId="166" fontId="12" fillId="3" borderId="0" xfId="0" applyNumberFormat="1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 wrapText="1"/>
    </xf>
    <xf numFmtId="166" fontId="13" fillId="3" borderId="0" xfId="0" applyNumberFormat="1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5" fillId="0" borderId="0" xfId="0" applyFont="1" applyAlignment="1">
      <alignment horizontal="justify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1" xfId="0" applyFont="1" applyBorder="1" applyAlignment="1">
      <alignment horizontal="justify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0" fillId="0" borderId="2" xfId="0" applyBorder="1"/>
    <xf numFmtId="0" fontId="15" fillId="0" borderId="4" xfId="0" applyFont="1" applyBorder="1" applyAlignment="1">
      <alignment horizontal="justify" vertical="center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right" vertical="center"/>
    </xf>
    <xf numFmtId="2" fontId="15" fillId="0" borderId="4" xfId="0" applyNumberFormat="1" applyFont="1" applyBorder="1" applyAlignment="1">
      <alignment horizontal="right" vertical="center"/>
    </xf>
    <xf numFmtId="2" fontId="0" fillId="0" borderId="0" xfId="0" applyNumberFormat="1"/>
    <xf numFmtId="2" fontId="15" fillId="0" borderId="0" xfId="0" applyNumberFormat="1" applyFont="1" applyAlignment="1">
      <alignment horizontal="right" vertical="center"/>
    </xf>
    <xf numFmtId="2" fontId="15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8" fillId="3" borderId="0" xfId="0" applyFont="1" applyFill="1" applyAlignment="1">
      <alignment horizontal="center"/>
    </xf>
    <xf numFmtId="0" fontId="18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top"/>
    </xf>
    <xf numFmtId="4" fontId="20" fillId="3" borderId="0" xfId="0" applyNumberFormat="1" applyFont="1" applyFill="1" applyAlignment="1">
      <alignment horizontal="center" vertical="center"/>
    </xf>
    <xf numFmtId="4" fontId="18" fillId="3" borderId="0" xfId="0" applyNumberFormat="1" applyFont="1" applyFill="1" applyAlignment="1">
      <alignment horizontal="center" vertical="center"/>
    </xf>
    <xf numFmtId="4" fontId="20" fillId="3" borderId="2" xfId="0" applyNumberFormat="1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4" fontId="11" fillId="3" borderId="0" xfId="0" applyNumberFormat="1" applyFont="1" applyFill="1"/>
    <xf numFmtId="10" fontId="12" fillId="3" borderId="0" xfId="1" applyNumberFormat="1" applyFont="1" applyFill="1" applyAlignment="1">
      <alignment horizontal="center"/>
    </xf>
    <xf numFmtId="167" fontId="11" fillId="3" borderId="0" xfId="1" applyNumberFormat="1" applyFont="1" applyFill="1"/>
    <xf numFmtId="9" fontId="11" fillId="3" borderId="0" xfId="1" applyFont="1" applyFill="1"/>
    <xf numFmtId="10" fontId="0" fillId="0" borderId="0" xfId="0" applyNumberFormat="1"/>
    <xf numFmtId="3" fontId="11" fillId="3" borderId="0" xfId="0" applyNumberFormat="1" applyFont="1" applyFill="1"/>
    <xf numFmtId="3" fontId="12" fillId="3" borderId="0" xfId="0" applyNumberFormat="1" applyFont="1" applyFill="1" applyAlignment="1">
      <alignment horizontal="center"/>
    </xf>
    <xf numFmtId="165" fontId="12" fillId="3" borderId="0" xfId="0" applyNumberFormat="1" applyFont="1" applyFill="1" applyAlignment="1">
      <alignment horizontal="center"/>
    </xf>
    <xf numFmtId="3" fontId="12" fillId="3" borderId="0" xfId="0" applyNumberFormat="1" applyFont="1" applyFill="1"/>
    <xf numFmtId="3" fontId="12" fillId="3" borderId="0" xfId="0" applyNumberFormat="1" applyFont="1" applyFill="1" applyAlignment="1">
      <alignment horizontal="center" vertical="center"/>
    </xf>
    <xf numFmtId="10" fontId="12" fillId="3" borderId="0" xfId="1" applyNumberFormat="1" applyFont="1" applyFill="1" applyAlignment="1">
      <alignment horizontal="right"/>
    </xf>
    <xf numFmtId="167" fontId="11" fillId="3" borderId="0" xfId="1" applyNumberFormat="1" applyFont="1" applyFill="1" applyAlignment="1">
      <alignment horizontal="right"/>
    </xf>
    <xf numFmtId="10" fontId="20" fillId="3" borderId="0" xfId="1" applyNumberFormat="1" applyFont="1" applyFill="1" applyAlignment="1">
      <alignment horizontal="right" vertical="center"/>
    </xf>
    <xf numFmtId="4" fontId="0" fillId="0" borderId="0" xfId="0" applyNumberFormat="1"/>
    <xf numFmtId="3" fontId="11" fillId="3" borderId="0" xfId="0" applyNumberFormat="1" applyFont="1" applyFill="1" applyAlignment="1">
      <alignment horizontal="right"/>
    </xf>
    <xf numFmtId="9" fontId="0" fillId="0" borderId="0" xfId="0" applyNumberFormat="1"/>
    <xf numFmtId="10" fontId="20" fillId="3" borderId="0" xfId="1" applyNumberFormat="1" applyFont="1" applyFill="1" applyAlignment="1">
      <alignment horizontal="center" vertical="center"/>
    </xf>
    <xf numFmtId="3" fontId="12" fillId="3" borderId="1" xfId="0" applyNumberFormat="1" applyFont="1" applyFill="1" applyBorder="1"/>
    <xf numFmtId="4" fontId="11" fillId="3" borderId="1" xfId="0" applyNumberFormat="1" applyFont="1" applyFill="1" applyBorder="1"/>
    <xf numFmtId="3" fontId="11" fillId="3" borderId="1" xfId="0" applyNumberFormat="1" applyFont="1" applyFill="1" applyBorder="1"/>
    <xf numFmtId="4" fontId="21" fillId="3" borderId="0" xfId="0" applyNumberFormat="1" applyFont="1" applyFill="1"/>
    <xf numFmtId="3" fontId="18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12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1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 wrapText="1"/>
    </xf>
    <xf numFmtId="3" fontId="12" fillId="3" borderId="0" xfId="0" applyNumberFormat="1" applyFont="1" applyFill="1" applyAlignment="1">
      <alignment horizontal="right"/>
    </xf>
    <xf numFmtId="1" fontId="11" fillId="3" borderId="0" xfId="1" applyNumberFormat="1" applyFont="1" applyFill="1" applyAlignment="1">
      <alignment horizontal="right"/>
    </xf>
    <xf numFmtId="0" fontId="22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10" fontId="26" fillId="3" borderId="0" xfId="1" applyNumberFormat="1" applyFont="1" applyFill="1" applyAlignment="1">
      <alignment horizontal="center" vertical="center" wrapText="1"/>
    </xf>
    <xf numFmtId="0" fontId="27" fillId="3" borderId="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10" fontId="27" fillId="3" borderId="0" xfId="1" applyNumberFormat="1" applyFont="1" applyFill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" fillId="3" borderId="0" xfId="0" applyFont="1" applyFill="1"/>
    <xf numFmtId="10" fontId="12" fillId="3" borderId="1" xfId="1" applyNumberFormat="1" applyFont="1" applyFill="1" applyBorder="1" applyAlignment="1">
      <alignment horizontal="center"/>
    </xf>
    <xf numFmtId="0" fontId="11" fillId="3" borderId="0" xfId="0" applyFont="1" applyFill="1" applyAlignment="1">
      <alignment horizontal="left"/>
    </xf>
    <xf numFmtId="10" fontId="0" fillId="3" borderId="0" xfId="1" applyNumberFormat="1" applyFont="1" applyFill="1"/>
    <xf numFmtId="10" fontId="12" fillId="3" borderId="0" xfId="1" applyNumberFormat="1" applyFont="1" applyFill="1"/>
    <xf numFmtId="0" fontId="29" fillId="3" borderId="0" xfId="0" applyFont="1" applyFill="1" applyAlignment="1">
      <alignment horizontal="center" vertical="center" wrapText="1"/>
    </xf>
    <xf numFmtId="10" fontId="0" fillId="0" borderId="0" xfId="1" applyNumberFormat="1" applyFont="1"/>
    <xf numFmtId="10" fontId="12" fillId="3" borderId="0" xfId="0" applyNumberFormat="1" applyFont="1" applyFill="1"/>
    <xf numFmtId="0" fontId="33" fillId="3" borderId="1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top"/>
    </xf>
    <xf numFmtId="0" fontId="30" fillId="3" borderId="0" xfId="0" applyFont="1" applyFill="1" applyAlignment="1">
      <alignment horizontal="center"/>
    </xf>
    <xf numFmtId="0" fontId="35" fillId="3" borderId="0" xfId="0" applyFont="1" applyFill="1" applyAlignment="1">
      <alignment horizontal="center"/>
    </xf>
    <xf numFmtId="3" fontId="35" fillId="3" borderId="0" xfId="0" applyNumberFormat="1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/>
    </xf>
    <xf numFmtId="3" fontId="20" fillId="3" borderId="0" xfId="0" applyNumberFormat="1" applyFont="1" applyFill="1" applyAlignment="1">
      <alignment horizontal="right"/>
    </xf>
    <xf numFmtId="3" fontId="35" fillId="3" borderId="0" xfId="0" applyNumberFormat="1" applyFont="1" applyFill="1" applyAlignment="1">
      <alignment horizontal="center"/>
    </xf>
    <xf numFmtId="0" fontId="37" fillId="3" borderId="0" xfId="0" applyFont="1" applyFill="1"/>
    <xf numFmtId="3" fontId="20" fillId="3" borderId="0" xfId="0" applyNumberFormat="1" applyFont="1" applyFill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" fontId="12" fillId="3" borderId="0" xfId="0" applyNumberFormat="1" applyFont="1" applyFill="1"/>
    <xf numFmtId="1" fontId="12" fillId="3" borderId="0" xfId="0" applyNumberFormat="1" applyFont="1" applyFill="1" applyAlignment="1">
      <alignment horizontal="right"/>
    </xf>
    <xf numFmtId="3" fontId="12" fillId="3" borderId="0" xfId="2" applyNumberFormat="1" applyFont="1" applyFill="1"/>
    <xf numFmtId="1" fontId="12" fillId="3" borderId="1" xfId="0" applyNumberFormat="1" applyFont="1" applyFill="1" applyBorder="1"/>
    <xf numFmtId="1" fontId="12" fillId="3" borderId="1" xfId="0" applyNumberFormat="1" applyFont="1" applyFill="1" applyBorder="1" applyAlignment="1">
      <alignment horizontal="right"/>
    </xf>
    <xf numFmtId="3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3" fontId="12" fillId="3" borderId="0" xfId="3" applyNumberFormat="1" applyFont="1" applyFill="1"/>
    <xf numFmtId="1" fontId="12" fillId="3" borderId="0" xfId="0" applyNumberFormat="1" applyFont="1" applyFill="1" applyAlignment="1">
      <alignment horizontal="right" vertical="center"/>
    </xf>
    <xf numFmtId="1" fontId="12" fillId="3" borderId="1" xfId="0" applyNumberFormat="1" applyFont="1" applyFill="1" applyBorder="1" applyAlignment="1">
      <alignment horizontal="right" vertical="center"/>
    </xf>
    <xf numFmtId="3" fontId="12" fillId="3" borderId="0" xfId="4" applyNumberFormat="1" applyFont="1" applyFill="1"/>
    <xf numFmtId="3" fontId="12" fillId="3" borderId="0" xfId="5" applyNumberFormat="1" applyFont="1" applyFill="1"/>
    <xf numFmtId="3" fontId="12" fillId="3" borderId="0" xfId="6" applyNumberFormat="1" applyFont="1" applyFill="1"/>
    <xf numFmtId="3" fontId="12" fillId="3" borderId="0" xfId="7" applyNumberFormat="1" applyFont="1" applyFill="1"/>
    <xf numFmtId="3" fontId="12" fillId="3" borderId="0" xfId="8" applyNumberFormat="1" applyFont="1" applyFill="1"/>
    <xf numFmtId="3" fontId="12" fillId="3" borderId="0" xfId="9" applyNumberFormat="1" applyFont="1" applyFill="1"/>
    <xf numFmtId="169" fontId="12" fillId="3" borderId="1" xfId="10" applyNumberFormat="1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170" fontId="12" fillId="3" borderId="6" xfId="0" applyNumberFormat="1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/>
    </xf>
    <xf numFmtId="0" fontId="12" fillId="3" borderId="6" xfId="0" applyFont="1" applyFill="1" applyBorder="1"/>
    <xf numFmtId="171" fontId="12" fillId="3" borderId="6" xfId="0" applyNumberFormat="1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169" fontId="12" fillId="3" borderId="0" xfId="10" applyNumberFormat="1" applyFont="1" applyFill="1" applyAlignment="1">
      <alignment horizontal="center" vertical="center"/>
    </xf>
    <xf numFmtId="171" fontId="11" fillId="3" borderId="6" xfId="0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wrapText="1"/>
    </xf>
    <xf numFmtId="0" fontId="25" fillId="4" borderId="6" xfId="0" applyFont="1" applyFill="1" applyBorder="1" applyAlignment="1">
      <alignment horizontal="center" wrapText="1"/>
    </xf>
    <xf numFmtId="0" fontId="39" fillId="3" borderId="0" xfId="0" applyFont="1" applyFill="1" applyAlignment="1">
      <alignment horizontal="center" wrapText="1"/>
    </xf>
    <xf numFmtId="43" fontId="12" fillId="3" borderId="0" xfId="0" applyNumberFormat="1" applyFont="1" applyFill="1" applyAlignment="1">
      <alignment horizontal="center"/>
    </xf>
    <xf numFmtId="172" fontId="0" fillId="0" borderId="6" xfId="0" applyNumberFormat="1" applyBorder="1"/>
    <xf numFmtId="0" fontId="0" fillId="0" borderId="6" xfId="0" applyBorder="1"/>
    <xf numFmtId="0" fontId="40" fillId="3" borderId="0" xfId="0" applyFont="1" applyFill="1" applyAlignment="1">
      <alignment horizontal="center" vertical="center" wrapText="1"/>
    </xf>
    <xf numFmtId="2" fontId="40" fillId="3" borderId="0" xfId="0" applyNumberFormat="1" applyFont="1" applyFill="1" applyAlignment="1">
      <alignment horizontal="center" vertical="center" wrapText="1"/>
    </xf>
    <xf numFmtId="0" fontId="0" fillId="5" borderId="6" xfId="0" applyFill="1" applyBorder="1"/>
    <xf numFmtId="43" fontId="41" fillId="0" borderId="0" xfId="10" applyNumberFormat="1" applyFont="1" applyAlignment="1">
      <alignment horizontal="center" vertical="center"/>
    </xf>
    <xf numFmtId="43" fontId="0" fillId="0" borderId="0" xfId="0" applyNumberFormat="1"/>
    <xf numFmtId="172" fontId="0" fillId="0" borderId="0" xfId="0" applyNumberFormat="1"/>
    <xf numFmtId="17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7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169" fontId="0" fillId="0" borderId="0" xfId="10" applyNumberFormat="1" applyFont="1" applyAlignment="1">
      <alignment horizontal="center" vertical="center"/>
    </xf>
    <xf numFmtId="17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2" fontId="4" fillId="0" borderId="0" xfId="0" applyNumberFormat="1" applyFont="1" applyAlignment="1">
      <alignment horizontal="center"/>
    </xf>
    <xf numFmtId="164" fontId="4" fillId="0" borderId="0" xfId="0" applyNumberFormat="1" applyFont="1"/>
    <xf numFmtId="0" fontId="4" fillId="0" borderId="0" xfId="0" applyFont="1"/>
    <xf numFmtId="0" fontId="8" fillId="3" borderId="0" xfId="0" applyFont="1" applyFill="1" applyAlignment="1">
      <alignment horizontal="center"/>
    </xf>
    <xf numFmtId="1" fontId="0" fillId="3" borderId="0" xfId="0" applyNumberForma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8" fillId="3" borderId="1" xfId="0" applyFon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1" fontId="0" fillId="3" borderId="2" xfId="0" applyNumberForma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/>
    </xf>
    <xf numFmtId="166" fontId="12" fillId="3" borderId="0" xfId="0" applyNumberFormat="1" applyFont="1" applyFill="1" applyAlignment="1">
      <alignment horizontal="center" vertical="center"/>
    </xf>
    <xf numFmtId="0" fontId="12" fillId="3" borderId="0" xfId="0" applyFont="1" applyFill="1" applyAlignment="1">
      <alignment horizontal="center"/>
    </xf>
    <xf numFmtId="0" fontId="12" fillId="3" borderId="0" xfId="0" applyFont="1" applyFill="1" applyAlignment="1">
      <alignment horizontal="left"/>
    </xf>
    <xf numFmtId="0" fontId="12" fillId="3" borderId="0" xfId="0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166" fontId="15" fillId="0" borderId="4" xfId="0" applyNumberFormat="1" applyFont="1" applyBorder="1" applyAlignment="1">
      <alignment horizontal="center" vertical="center"/>
    </xf>
    <xf numFmtId="166" fontId="15" fillId="0" borderId="0" xfId="0" applyNumberFormat="1" applyFont="1" applyAlignment="1">
      <alignment horizontal="center" vertical="center"/>
    </xf>
    <xf numFmtId="166" fontId="15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0" fontId="12" fillId="3" borderId="0" xfId="0" applyFont="1" applyFill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1" fillId="3" borderId="0" xfId="0" applyFont="1" applyFill="1" applyAlignment="1">
      <alignment horizontal="left"/>
    </xf>
    <xf numFmtId="3" fontId="11" fillId="3" borderId="0" xfId="0" applyNumberFormat="1" applyFont="1" applyFill="1" applyAlignment="1">
      <alignment horizontal="center"/>
    </xf>
    <xf numFmtId="49" fontId="18" fillId="3" borderId="0" xfId="0" applyNumberFormat="1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right"/>
    </xf>
    <xf numFmtId="0" fontId="11" fillId="3" borderId="0" xfId="0" applyFont="1" applyFill="1" applyAlignment="1">
      <alignment horizontal="right"/>
    </xf>
    <xf numFmtId="0" fontId="11" fillId="3" borderId="0" xfId="0" applyFont="1" applyFill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/>
    </xf>
    <xf numFmtId="0" fontId="17" fillId="3" borderId="0" xfId="0" applyFont="1" applyFill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1" fontId="12" fillId="3" borderId="0" xfId="0" applyNumberFormat="1" applyFont="1" applyFill="1" applyAlignment="1">
      <alignment horizontal="center"/>
    </xf>
    <xf numFmtId="0" fontId="12" fillId="3" borderId="0" xfId="0" applyFont="1" applyFill="1" applyAlignment="1">
      <alignment horizontal="center" wrapText="1"/>
    </xf>
    <xf numFmtId="1" fontId="11" fillId="3" borderId="0" xfId="0" applyNumberFormat="1" applyFont="1" applyFill="1" applyAlignment="1">
      <alignment horizontal="center" vertical="center"/>
    </xf>
    <xf numFmtId="0" fontId="33" fillId="3" borderId="4" xfId="0" applyFont="1" applyFill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/>
    </xf>
    <xf numFmtId="0" fontId="33" fillId="3" borderId="4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 wrapText="1"/>
    </xf>
    <xf numFmtId="0" fontId="30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32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29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23" fillId="3" borderId="6" xfId="0" applyFont="1" applyFill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left" vertical="center"/>
    </xf>
    <xf numFmtId="0" fontId="11" fillId="3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3" fillId="6" borderId="9" xfId="0" applyFont="1" applyFill="1" applyBorder="1" applyAlignment="1">
      <alignment horizontal="left" vertical="top" wrapText="1"/>
    </xf>
    <xf numFmtId="0" fontId="43" fillId="6" borderId="0" xfId="0" applyFont="1" applyFill="1" applyAlignment="1">
      <alignment horizontal="left" vertical="top" wrapText="1"/>
    </xf>
    <xf numFmtId="0" fontId="42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8" fillId="3" borderId="9" xfId="0" applyFont="1" applyFill="1" applyBorder="1" applyAlignment="1">
      <alignment horizontal="center" vertical="center" wrapText="1"/>
    </xf>
    <xf numFmtId="0" fontId="38" fillId="3" borderId="0" xfId="0" applyFont="1" applyFill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/>
    </xf>
    <xf numFmtId="0" fontId="44" fillId="3" borderId="4" xfId="0" applyFont="1" applyFill="1" applyBorder="1" applyAlignment="1">
      <alignment horizontal="center" vertical="center"/>
    </xf>
    <xf numFmtId="0" fontId="44" fillId="3" borderId="0" xfId="0" applyFont="1" applyFill="1" applyAlignment="1">
      <alignment horizontal="center" vertical="center"/>
    </xf>
    <xf numFmtId="0" fontId="44" fillId="3" borderId="0" xfId="0" applyFont="1" applyFill="1" applyAlignment="1">
      <alignment horizontal="center"/>
    </xf>
    <xf numFmtId="0" fontId="44" fillId="3" borderId="0" xfId="0" applyFont="1" applyFill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top"/>
    </xf>
    <xf numFmtId="0" fontId="44" fillId="3" borderId="1" xfId="0" applyFont="1" applyFill="1" applyBorder="1" applyAlignment="1">
      <alignment horizontal="center" vertical="center" wrapText="1"/>
    </xf>
    <xf numFmtId="0" fontId="45" fillId="3" borderId="0" xfId="0" applyFont="1" applyFill="1" applyAlignment="1">
      <alignment horizontal="center"/>
    </xf>
    <xf numFmtId="3" fontId="45" fillId="3" borderId="0" xfId="0" applyNumberFormat="1" applyFont="1" applyFill="1" applyAlignment="1">
      <alignment horizontal="center"/>
    </xf>
    <xf numFmtId="0" fontId="45" fillId="3" borderId="1" xfId="0" applyFont="1" applyFill="1" applyBorder="1" applyAlignment="1">
      <alignment horizontal="center"/>
    </xf>
    <xf numFmtId="167" fontId="45" fillId="3" borderId="1" xfId="0" applyNumberFormat="1" applyFont="1" applyFill="1" applyBorder="1" applyAlignment="1">
      <alignment horizontal="center"/>
    </xf>
    <xf numFmtId="9" fontId="45" fillId="3" borderId="1" xfId="0" applyNumberFormat="1" applyFont="1" applyFill="1" applyBorder="1" applyAlignment="1">
      <alignment horizontal="center"/>
    </xf>
    <xf numFmtId="0" fontId="44" fillId="3" borderId="0" xfId="0" applyFont="1" applyFill="1" applyAlignment="1">
      <alignment horizontal="center" vertical="top"/>
    </xf>
    <xf numFmtId="167" fontId="45" fillId="3" borderId="0" xfId="0" applyNumberFormat="1" applyFont="1" applyFill="1" applyAlignment="1">
      <alignment horizontal="center"/>
    </xf>
  </cellXfs>
  <cellStyles count="11">
    <cellStyle name="Millares 2" xfId="10" xr:uid="{396768E3-613C-48B2-B959-571EDC80DA14}"/>
    <cellStyle name="Normal" xfId="0" builtinId="0"/>
    <cellStyle name="Normal 211" xfId="2" xr:uid="{90F0FC60-BA31-4BB6-A7EA-F5CDED972C5C}"/>
    <cellStyle name="Normal 212" xfId="3" xr:uid="{B84D2123-38F3-4D98-ACBF-9D988D0568F8}"/>
    <cellStyle name="Normal 214" xfId="4" xr:uid="{89DE4312-5765-45FE-B30B-CC3576392723}"/>
    <cellStyle name="Normal 217" xfId="5" xr:uid="{F7FC0D3B-6222-466C-A740-E9C7A996B552}"/>
    <cellStyle name="Normal 219" xfId="6" xr:uid="{D529F786-9E40-4589-85A8-EB747ACA1762}"/>
    <cellStyle name="Normal 220" xfId="7" xr:uid="{280824F9-4000-4CF1-AB02-6B92E1DC4826}"/>
    <cellStyle name="Normal 221" xfId="8" xr:uid="{37CDD200-6980-4286-A0AE-D7954847D9F6}"/>
    <cellStyle name="Normal 222" xfId="9" xr:uid="{23BFFB7C-9B61-4A73-8384-4FF01C2924C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defRPr>
            </a:pPr>
            <a:r>
              <a:rPr lang="es-EC" b="1">
                <a:solidFill>
                  <a:srgbClr val="002060"/>
                </a:solidFill>
              </a:rPr>
              <a:t>Contabilización de vehículos pesados promedio</a:t>
            </a:r>
            <a:r>
              <a:rPr lang="es-EC" b="1" baseline="0">
                <a:solidFill>
                  <a:srgbClr val="002060"/>
                </a:solidFill>
              </a:rPr>
              <a:t> por cada día de la semana - Marzo 2017</a:t>
            </a:r>
            <a:endParaRPr lang="es-EC" b="1">
              <a:solidFill>
                <a:srgbClr val="00206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rgbClr val="00206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ECU-COL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'Contabilización Horaria'!$C$39:$C$45</c:f>
              <c:strCache>
                <c:ptCount val="7"/>
                <c:pt idx="0">
                  <c:v>Lunes</c:v>
                </c:pt>
                <c:pt idx="1">
                  <c:v>Martes</c:v>
                </c:pt>
                <c:pt idx="2">
                  <c:v>Miércoles</c:v>
                </c:pt>
                <c:pt idx="3">
                  <c:v>Jueves</c:v>
                </c:pt>
                <c:pt idx="4">
                  <c:v>Viernes</c:v>
                </c:pt>
                <c:pt idx="5">
                  <c:v>Sábado</c:v>
                </c:pt>
                <c:pt idx="6">
                  <c:v>Domingo</c:v>
                </c:pt>
              </c:strCache>
            </c:strRef>
          </c:cat>
          <c:val>
            <c:numRef>
              <c:f>'Contabilización Horaria'!$D$39:$D$45</c:f>
              <c:numCache>
                <c:formatCode>#,##0</c:formatCode>
                <c:ptCount val="7"/>
                <c:pt idx="0">
                  <c:v>821</c:v>
                </c:pt>
                <c:pt idx="1">
                  <c:v>816</c:v>
                </c:pt>
                <c:pt idx="2">
                  <c:v>711</c:v>
                </c:pt>
                <c:pt idx="3">
                  <c:v>754</c:v>
                </c:pt>
                <c:pt idx="4">
                  <c:v>705</c:v>
                </c:pt>
                <c:pt idx="5">
                  <c:v>581</c:v>
                </c:pt>
                <c:pt idx="6">
                  <c:v>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99-4326-BB87-CDB4AD49A7B7}"/>
            </c:ext>
          </c:extLst>
        </c:ser>
        <c:ser>
          <c:idx val="1"/>
          <c:order val="1"/>
          <c:tx>
            <c:v>COL-ECU</c:v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'Contabilización Horaria'!$C$39:$C$45</c:f>
              <c:strCache>
                <c:ptCount val="7"/>
                <c:pt idx="0">
                  <c:v>Lunes</c:v>
                </c:pt>
                <c:pt idx="1">
                  <c:v>Martes</c:v>
                </c:pt>
                <c:pt idx="2">
                  <c:v>Miércoles</c:v>
                </c:pt>
                <c:pt idx="3">
                  <c:v>Jueves</c:v>
                </c:pt>
                <c:pt idx="4">
                  <c:v>Viernes</c:v>
                </c:pt>
                <c:pt idx="5">
                  <c:v>Sábado</c:v>
                </c:pt>
                <c:pt idx="6">
                  <c:v>Domingo</c:v>
                </c:pt>
              </c:strCache>
            </c:strRef>
          </c:cat>
          <c:val>
            <c:numRef>
              <c:f>'Contabilización Horaria'!$E$39:$E$45</c:f>
              <c:numCache>
                <c:formatCode>General</c:formatCode>
                <c:ptCount val="7"/>
                <c:pt idx="0">
                  <c:v>1035</c:v>
                </c:pt>
                <c:pt idx="1">
                  <c:v>828</c:v>
                </c:pt>
                <c:pt idx="2">
                  <c:v>773</c:v>
                </c:pt>
                <c:pt idx="3">
                  <c:v>828</c:v>
                </c:pt>
                <c:pt idx="4">
                  <c:v>752</c:v>
                </c:pt>
                <c:pt idx="5">
                  <c:v>553</c:v>
                </c:pt>
                <c:pt idx="6">
                  <c:v>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99-4326-BB87-CDB4AD49A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78319007"/>
        <c:axId val="1578322335"/>
        <c:axId val="0"/>
      </c:bar3DChart>
      <c:catAx>
        <c:axId val="1578319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22335"/>
        <c:crosses val="autoZero"/>
        <c:auto val="1"/>
        <c:lblAlgn val="ctr"/>
        <c:lblOffset val="100"/>
        <c:noMultiLvlLbl val="0"/>
      </c:catAx>
      <c:valAx>
        <c:axId val="1578322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8319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712408</xdr:colOff>
      <xdr:row>41</xdr:row>
      <xdr:rowOff>152399</xdr:rowOff>
    </xdr:from>
    <xdr:to>
      <xdr:col>12</xdr:col>
      <xdr:colOff>863600</xdr:colOff>
      <xdr:row>55</xdr:row>
      <xdr:rowOff>156028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2BEE6A3D-52D0-4436-B1F9-39EB49D5C4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0</xdr:rowOff>
    </xdr:from>
    <xdr:to>
      <xdr:col>11</xdr:col>
      <xdr:colOff>304800</xdr:colOff>
      <xdr:row>1</xdr:row>
      <xdr:rowOff>114300</xdr:rowOff>
    </xdr:to>
    <xdr:sp macro="" textlink="">
      <xdr:nvSpPr>
        <xdr:cNvPr id="2" name="AutoShape 1" descr="Resultado de imagen para BICICLETA">
          <a:extLst>
            <a:ext uri="{FF2B5EF4-FFF2-40B4-BE49-F238E27FC236}">
              <a16:creationId xmlns:a16="http://schemas.microsoft.com/office/drawing/2014/main" id="{4AC4952B-9C4F-426D-9D96-B2727AF22AEF}"/>
            </a:ext>
          </a:extLst>
        </xdr:cNvPr>
        <xdr:cNvSpPr>
          <a:spLocks noChangeAspect="1" noChangeArrowheads="1"/>
        </xdr:cNvSpPr>
      </xdr:nvSpPr>
      <xdr:spPr bwMode="auto">
        <a:xfrm>
          <a:off x="10386060" y="0"/>
          <a:ext cx="304800" cy="297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1</xdr:row>
      <xdr:rowOff>114300</xdr:rowOff>
    </xdr:to>
    <xdr:sp macro="" textlink="">
      <xdr:nvSpPr>
        <xdr:cNvPr id="3" name="AutoShape 2" descr="Resultado de imagen para BICICLETA">
          <a:extLst>
            <a:ext uri="{FF2B5EF4-FFF2-40B4-BE49-F238E27FC236}">
              <a16:creationId xmlns:a16="http://schemas.microsoft.com/office/drawing/2014/main" id="{63DC9B70-B009-4056-9BDD-6C55461EB6E6}"/>
            </a:ext>
          </a:extLst>
        </xdr:cNvPr>
        <xdr:cNvSpPr>
          <a:spLocks noChangeAspect="1" noChangeArrowheads="1"/>
        </xdr:cNvSpPr>
      </xdr:nvSpPr>
      <xdr:spPr bwMode="auto">
        <a:xfrm>
          <a:off x="8595360" y="0"/>
          <a:ext cx="304800" cy="297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304800</xdr:colOff>
      <xdr:row>1</xdr:row>
      <xdr:rowOff>114300</xdr:rowOff>
    </xdr:to>
    <xdr:sp macro="" textlink="">
      <xdr:nvSpPr>
        <xdr:cNvPr id="4" name="AutoShape 4" descr="Resultado de imagen para BICICLETA">
          <a:extLst>
            <a:ext uri="{FF2B5EF4-FFF2-40B4-BE49-F238E27FC236}">
              <a16:creationId xmlns:a16="http://schemas.microsoft.com/office/drawing/2014/main" id="{3C726BBB-3ADE-41F1-8C0A-464F8BFFBF38}"/>
            </a:ext>
          </a:extLst>
        </xdr:cNvPr>
        <xdr:cNvSpPr>
          <a:spLocks noChangeAspect="1" noChangeArrowheads="1"/>
        </xdr:cNvSpPr>
      </xdr:nvSpPr>
      <xdr:spPr bwMode="auto">
        <a:xfrm>
          <a:off x="9494520" y="0"/>
          <a:ext cx="304800" cy="2971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90D31-1BCF-44E3-9E28-B3E237C5F0D8}">
  <dimension ref="B2:I8"/>
  <sheetViews>
    <sheetView showGridLines="0" tabSelected="1" workbookViewId="0"/>
  </sheetViews>
  <sheetFormatPr baseColWidth="10" defaultRowHeight="14.4" x14ac:dyDescent="0.3"/>
  <cols>
    <col min="2" max="2" width="18.44140625" customWidth="1"/>
  </cols>
  <sheetData>
    <row r="2" spans="2:9" x14ac:dyDescent="0.3">
      <c r="B2" s="1" t="s">
        <v>0</v>
      </c>
      <c r="C2" t="s">
        <v>1</v>
      </c>
    </row>
    <row r="3" spans="2:9" x14ac:dyDescent="0.3">
      <c r="B3" s="1" t="s">
        <v>2</v>
      </c>
      <c r="C3" t="s">
        <v>3</v>
      </c>
    </row>
    <row r="4" spans="2:9" x14ac:dyDescent="0.3">
      <c r="B4" s="1" t="s">
        <v>4</v>
      </c>
      <c r="C4" t="s">
        <v>5</v>
      </c>
    </row>
    <row r="5" spans="2:9" x14ac:dyDescent="0.3">
      <c r="B5" s="1" t="s">
        <v>6</v>
      </c>
      <c r="C5" t="s">
        <v>7</v>
      </c>
    </row>
    <row r="6" spans="2:9" x14ac:dyDescent="0.3">
      <c r="B6" s="1" t="s">
        <v>8</v>
      </c>
      <c r="C6" s="2">
        <v>2019</v>
      </c>
    </row>
    <row r="8" spans="2:9" ht="87" customHeight="1" x14ac:dyDescent="0.3">
      <c r="B8" s="3" t="s">
        <v>9</v>
      </c>
      <c r="C8" s="189" t="s">
        <v>10</v>
      </c>
      <c r="D8" s="189"/>
      <c r="E8" s="189"/>
      <c r="F8" s="189"/>
      <c r="G8" s="189"/>
      <c r="H8" s="189"/>
      <c r="I8" s="189"/>
    </row>
  </sheetData>
  <mergeCells count="1">
    <mergeCell ref="C8:I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926DC-7EAB-4BCF-86D8-A4C0BBEBB5A0}">
  <dimension ref="B2:Q46"/>
  <sheetViews>
    <sheetView workbookViewId="0"/>
  </sheetViews>
  <sheetFormatPr baseColWidth="10" defaultRowHeight="14.4" x14ac:dyDescent="0.3"/>
  <cols>
    <col min="2" max="2" width="13" customWidth="1"/>
    <col min="16" max="17" width="0" hidden="1" customWidth="1"/>
  </cols>
  <sheetData>
    <row r="2" spans="2:17" x14ac:dyDescent="0.3">
      <c r="B2" s="1" t="s">
        <v>244</v>
      </c>
      <c r="C2" t="s">
        <v>245</v>
      </c>
    </row>
    <row r="5" spans="2:17" x14ac:dyDescent="0.3">
      <c r="C5" t="s">
        <v>11</v>
      </c>
      <c r="J5" t="s">
        <v>12</v>
      </c>
    </row>
    <row r="7" spans="2:17" x14ac:dyDescent="0.3">
      <c r="B7" s="85"/>
      <c r="C7" s="194" t="s">
        <v>13</v>
      </c>
      <c r="D7" s="194"/>
      <c r="E7" s="194"/>
      <c r="F7" s="194"/>
      <c r="G7" s="194"/>
      <c r="H7" s="194"/>
      <c r="I7" s="85"/>
      <c r="J7" s="194" t="s">
        <v>14</v>
      </c>
      <c r="K7" s="194"/>
      <c r="L7" s="194"/>
      <c r="M7" s="194"/>
      <c r="N7" s="194"/>
      <c r="O7" s="194"/>
    </row>
    <row r="8" spans="2:17" ht="37.799999999999997" customHeight="1" x14ac:dyDescent="0.3">
      <c r="B8" s="85"/>
      <c r="C8" s="195" t="s">
        <v>15</v>
      </c>
      <c r="D8" s="197" t="s">
        <v>243</v>
      </c>
      <c r="E8" s="197"/>
      <c r="F8" s="197"/>
      <c r="G8" s="197"/>
      <c r="H8" s="197"/>
      <c r="I8" s="85"/>
      <c r="J8" s="195" t="s">
        <v>15</v>
      </c>
      <c r="K8" s="197" t="s">
        <v>243</v>
      </c>
      <c r="L8" s="197"/>
      <c r="M8" s="197"/>
      <c r="N8" s="197"/>
      <c r="O8" s="197"/>
    </row>
    <row r="9" spans="2:17" ht="71.400000000000006" customHeight="1" x14ac:dyDescent="0.3">
      <c r="B9" s="85"/>
      <c r="C9" s="196"/>
      <c r="D9" s="187" t="s">
        <v>16</v>
      </c>
      <c r="E9" s="187" t="s">
        <v>17</v>
      </c>
      <c r="F9" s="187" t="s">
        <v>18</v>
      </c>
      <c r="G9" s="187" t="s">
        <v>19</v>
      </c>
      <c r="H9" s="188" t="s">
        <v>20</v>
      </c>
      <c r="I9" s="85"/>
      <c r="J9" s="196"/>
      <c r="K9" s="187" t="s">
        <v>16</v>
      </c>
      <c r="L9" s="187" t="s">
        <v>17</v>
      </c>
      <c r="M9" s="187" t="s">
        <v>18</v>
      </c>
      <c r="N9" s="187" t="s">
        <v>19</v>
      </c>
      <c r="O9" s="188" t="s">
        <v>20</v>
      </c>
    </row>
    <row r="10" spans="2:17" x14ac:dyDescent="0.3">
      <c r="B10" s="85"/>
      <c r="C10" s="180" t="s">
        <v>21</v>
      </c>
      <c r="D10" s="181">
        <f>AVERAGE(#REF!,#REF!,#REF!,#REF!,#REF!,#REF!,#REF!)</f>
        <v>1.2857142857142858</v>
      </c>
      <c r="E10" s="181">
        <f>AVERAGE(#REF!,#REF!,#REF!,#REF!,#REF!,#REF!,#REF!)</f>
        <v>0</v>
      </c>
      <c r="F10" s="181">
        <f>AVERAGE(#REF!,#REF!,#REF!,#REF!,#REF!,#REF!,#REF!)</f>
        <v>0</v>
      </c>
      <c r="G10" s="181">
        <f>AVERAGE(#REF!,#REF!,#REF!,#REF!,#REF!,#REF!,#REF!)</f>
        <v>0</v>
      </c>
      <c r="H10" s="181">
        <f t="shared" ref="H10:H34" si="0">SUM(D10:G10)</f>
        <v>1.2857142857142858</v>
      </c>
      <c r="I10" s="182">
        <f t="shared" ref="I10:I33" si="1">H10*100/$H$34</f>
        <v>0.18879798615481438</v>
      </c>
      <c r="J10" s="180" t="s">
        <v>21</v>
      </c>
      <c r="K10" s="8">
        <f>AVERAGE(#REF!,#REF!,#REF!,#REF!,#REF!,#REF!,#REF!)</f>
        <v>0.8571428571428571</v>
      </c>
      <c r="L10" s="8">
        <f>AVERAGE(#REF!,#REF!,#REF!,#REF!,#REF!,#REF!,#REF!)</f>
        <v>0</v>
      </c>
      <c r="M10" s="8">
        <f>AVERAGE(#REF!,#REF!,#REF!,#REF!,#REF!,#REF!,#REF!)</f>
        <v>0</v>
      </c>
      <c r="N10" s="8">
        <f>AVERAGE(#REF!,#REF!,#REF!,#REF!,#REF!,#REF!,#REF!)</f>
        <v>0</v>
      </c>
      <c r="O10" s="181">
        <f t="shared" ref="O10:O34" si="2">SUM(K10:N10)</f>
        <v>0.8571428571428571</v>
      </c>
      <c r="P10" s="4">
        <f t="shared" ref="P10:P33" si="3">O10*100/$O$34</f>
        <v>0.11605415860735011</v>
      </c>
      <c r="Q10" s="190">
        <f>SUM(P10:P15)</f>
        <v>4.9709864603481622</v>
      </c>
    </row>
    <row r="11" spans="2:17" x14ac:dyDescent="0.3">
      <c r="B11" s="85"/>
      <c r="C11" s="180" t="s">
        <v>22</v>
      </c>
      <c r="D11" s="181">
        <f>AVERAGE(#REF!,#REF!,#REF!,#REF!,#REF!,#REF!,#REF!)</f>
        <v>0.7142857142857143</v>
      </c>
      <c r="E11" s="181">
        <f>AVERAGE(#REF!,#REF!,#REF!,#REF!,#REF!,#REF!,#REF!)</f>
        <v>0</v>
      </c>
      <c r="F11" s="181">
        <f>AVERAGE(#REF!,#REF!,#REF!,#REF!,#REF!,#REF!,#REF!)</f>
        <v>0</v>
      </c>
      <c r="G11" s="181">
        <f>AVERAGE(#REF!,#REF!,#REF!,#REF!,#REF!,#REF!,#REF!)</f>
        <v>0</v>
      </c>
      <c r="H11" s="181">
        <f t="shared" si="0"/>
        <v>0.7142857142857143</v>
      </c>
      <c r="I11" s="182">
        <f t="shared" si="1"/>
        <v>0.104887770086008</v>
      </c>
      <c r="J11" s="180" t="s">
        <v>22</v>
      </c>
      <c r="K11" s="8">
        <f>AVERAGE(#REF!,#REF!,#REF!,#REF!,#REF!,#REF!,#REF!)</f>
        <v>0.5714285714285714</v>
      </c>
      <c r="L11" s="8">
        <f>AVERAGE(#REF!,#REF!,#REF!,#REF!,#REF!,#REF!,#REF!)</f>
        <v>0.14285714285714285</v>
      </c>
      <c r="M11" s="8">
        <f>AVERAGE(#REF!,#REF!,#REF!,#REF!,#REF!,#REF!,#REF!)</f>
        <v>0</v>
      </c>
      <c r="N11" s="8">
        <f>AVERAGE(#REF!,#REF!,#REF!,#REF!,#REF!,#REF!,#REF!)</f>
        <v>0</v>
      </c>
      <c r="O11" s="181">
        <f t="shared" si="2"/>
        <v>0.71428571428571419</v>
      </c>
      <c r="P11" s="4">
        <f t="shared" si="3"/>
        <v>9.6711798839458421E-2</v>
      </c>
      <c r="Q11" s="191"/>
    </row>
    <row r="12" spans="2:17" x14ac:dyDescent="0.3">
      <c r="B12" s="85"/>
      <c r="C12" s="180" t="s">
        <v>23</v>
      </c>
      <c r="D12" s="181">
        <f>AVERAGE(#REF!,#REF!,#REF!,#REF!,#REF!,#REF!,#REF!)</f>
        <v>1.1428571428571428</v>
      </c>
      <c r="E12" s="181">
        <f>AVERAGE(#REF!,#REF!,#REF!,#REF!,#REF!,#REF!,#REF!)</f>
        <v>0</v>
      </c>
      <c r="F12" s="181">
        <f>AVERAGE(#REF!,#REF!,#REF!,#REF!,#REF!,#REF!,#REF!)</f>
        <v>0</v>
      </c>
      <c r="G12" s="181">
        <f>AVERAGE(#REF!,#REF!,#REF!,#REF!,#REF!,#REF!,#REF!)</f>
        <v>0</v>
      </c>
      <c r="H12" s="181">
        <f t="shared" si="0"/>
        <v>1.1428571428571428</v>
      </c>
      <c r="I12" s="182">
        <f t="shared" si="1"/>
        <v>0.16782043213761277</v>
      </c>
      <c r="J12" s="180" t="s">
        <v>23</v>
      </c>
      <c r="K12" s="8">
        <f>AVERAGE(#REF!,#REF!,#REF!,#REF!,#REF!,#REF!,#REF!)</f>
        <v>0.5714285714285714</v>
      </c>
      <c r="L12" s="8">
        <f>AVERAGE(#REF!,#REF!,#REF!,#REF!,#REF!,#REF!,#REF!)</f>
        <v>0</v>
      </c>
      <c r="M12" s="8">
        <f>AVERAGE(#REF!,#REF!,#REF!,#REF!,#REF!,#REF!,#REF!)</f>
        <v>0</v>
      </c>
      <c r="N12" s="8">
        <f>AVERAGE(#REF!,#REF!,#REF!,#REF!,#REF!,#REF!,#REF!)</f>
        <v>0</v>
      </c>
      <c r="O12" s="181">
        <f t="shared" si="2"/>
        <v>0.5714285714285714</v>
      </c>
      <c r="P12" s="4">
        <f t="shared" si="3"/>
        <v>7.7369439071566737E-2</v>
      </c>
      <c r="Q12" s="191"/>
    </row>
    <row r="13" spans="2:17" x14ac:dyDescent="0.3">
      <c r="B13" s="85"/>
      <c r="C13" s="180" t="s">
        <v>24</v>
      </c>
      <c r="D13" s="181">
        <f>AVERAGE(#REF!,#REF!,#REF!,#REF!,#REF!,#REF!,#REF!)</f>
        <v>0.8571428571428571</v>
      </c>
      <c r="E13" s="181">
        <f>AVERAGE(#REF!,#REF!,#REF!,#REF!,#REF!,#REF!,#REF!)</f>
        <v>0</v>
      </c>
      <c r="F13" s="181">
        <f>AVERAGE(#REF!,#REF!,#REF!,#REF!,#REF!,#REF!,#REF!)</f>
        <v>0</v>
      </c>
      <c r="G13" s="181">
        <f>AVERAGE(#REF!,#REF!,#REF!,#REF!,#REF!,#REF!,#REF!)</f>
        <v>0</v>
      </c>
      <c r="H13" s="181">
        <f t="shared" si="0"/>
        <v>0.8571428571428571</v>
      </c>
      <c r="I13" s="182">
        <f t="shared" si="1"/>
        <v>0.12586532410320958</v>
      </c>
      <c r="J13" s="180" t="s">
        <v>24</v>
      </c>
      <c r="K13" s="8">
        <f>AVERAGE(#REF!,#REF!,#REF!,#REF!,#REF!,#REF!,#REF!)</f>
        <v>2.2857142857142856</v>
      </c>
      <c r="L13" s="8">
        <f>AVERAGE(#REF!,#REF!,#REF!,#REF!,#REF!,#REF!,#REF!)</f>
        <v>0</v>
      </c>
      <c r="M13" s="8">
        <f>AVERAGE(#REF!,#REF!,#REF!,#REF!,#REF!,#REF!,#REF!)</f>
        <v>0</v>
      </c>
      <c r="N13" s="8">
        <f>AVERAGE(#REF!,#REF!,#REF!,#REF!,#REF!,#REF!,#REF!)</f>
        <v>0.14285714285714285</v>
      </c>
      <c r="O13" s="181">
        <f t="shared" si="2"/>
        <v>2.4285714285714284</v>
      </c>
      <c r="P13" s="4">
        <f t="shared" si="3"/>
        <v>0.32882011605415862</v>
      </c>
      <c r="Q13" s="191"/>
    </row>
    <row r="14" spans="2:17" x14ac:dyDescent="0.3">
      <c r="B14" s="85"/>
      <c r="C14" s="180" t="s">
        <v>25</v>
      </c>
      <c r="D14" s="181">
        <f>AVERAGE(#REF!,#REF!,#REF!,#REF!,#REF!,#REF!,#REF!)</f>
        <v>1.2857142857142858</v>
      </c>
      <c r="E14" s="181">
        <f>AVERAGE(#REF!,#REF!,#REF!,#REF!,#REF!,#REF!,#REF!)</f>
        <v>0</v>
      </c>
      <c r="F14" s="181">
        <f>AVERAGE(#REF!,#REF!,#REF!,#REF!,#REF!,#REF!,#REF!)</f>
        <v>0</v>
      </c>
      <c r="G14" s="181">
        <f>AVERAGE(#REF!,#REF!,#REF!,#REF!,#REF!,#REF!,#REF!)</f>
        <v>0</v>
      </c>
      <c r="H14" s="181">
        <f t="shared" si="0"/>
        <v>1.2857142857142858</v>
      </c>
      <c r="I14" s="182">
        <f t="shared" si="1"/>
        <v>0.18879798615481438</v>
      </c>
      <c r="J14" s="180" t="s">
        <v>25</v>
      </c>
      <c r="K14" s="8">
        <f>AVERAGE(#REF!,#REF!,#REF!,#REF!,#REF!,#REF!,#REF!)</f>
        <v>8</v>
      </c>
      <c r="L14" s="8">
        <f>AVERAGE(#REF!,#REF!,#REF!,#REF!,#REF!,#REF!,#REF!)</f>
        <v>0</v>
      </c>
      <c r="M14" s="8">
        <f>AVERAGE(#REF!,#REF!,#REF!,#REF!,#REF!,#REF!,#REF!)</f>
        <v>0.14285714285714285</v>
      </c>
      <c r="N14" s="8">
        <f>AVERAGE(#REF!,#REF!,#REF!,#REF!,#REF!,#REF!,#REF!)</f>
        <v>0.14285714285714285</v>
      </c>
      <c r="O14" s="181">
        <f t="shared" si="2"/>
        <v>8.2857142857142847</v>
      </c>
      <c r="P14" s="4">
        <f t="shared" si="3"/>
        <v>1.1218568665377175</v>
      </c>
      <c r="Q14" s="191"/>
    </row>
    <row r="15" spans="2:17" x14ac:dyDescent="0.3">
      <c r="B15" s="85"/>
      <c r="C15" s="180" t="s">
        <v>26</v>
      </c>
      <c r="D15" s="181">
        <f>AVERAGE(#REF!,#REF!,#REF!,#REF!,#REF!,#REF!,#REF!)</f>
        <v>8</v>
      </c>
      <c r="E15" s="181">
        <f>AVERAGE(#REF!,#REF!,#REF!,#REF!,#REF!,#REF!,#REF!)</f>
        <v>0.14285714285714285</v>
      </c>
      <c r="F15" s="181">
        <f>AVERAGE(#REF!,#REF!,#REF!,#REF!,#REF!,#REF!,#REF!)</f>
        <v>0</v>
      </c>
      <c r="G15" s="181">
        <f>AVERAGE(#REF!,#REF!,#REF!,#REF!,#REF!,#REF!,#REF!)</f>
        <v>0.2857142857142857</v>
      </c>
      <c r="H15" s="181">
        <f t="shared" si="0"/>
        <v>8.4285714285714288</v>
      </c>
      <c r="I15" s="182">
        <f t="shared" si="1"/>
        <v>1.2376756870148944</v>
      </c>
      <c r="J15" s="180" t="s">
        <v>26</v>
      </c>
      <c r="K15" s="8">
        <f>AVERAGE(#REF!,#REF!,#REF!,#REF!,#REF!,#REF!,#REF!)</f>
        <v>22</v>
      </c>
      <c r="L15" s="8">
        <f>AVERAGE(#REF!,#REF!,#REF!,#REF!,#REF!,#REF!,#REF!)</f>
        <v>0.42857142857142855</v>
      </c>
      <c r="M15" s="8">
        <f>AVERAGE(#REF!,#REF!,#REF!,#REF!,#REF!,#REF!,#REF!)</f>
        <v>0.42857142857142855</v>
      </c>
      <c r="N15" s="8">
        <f>AVERAGE(#REF!,#REF!,#REF!,#REF!,#REF!,#REF!,#REF!)</f>
        <v>1</v>
      </c>
      <c r="O15" s="181">
        <f t="shared" si="2"/>
        <v>23.857142857142854</v>
      </c>
      <c r="P15" s="4">
        <f t="shared" si="3"/>
        <v>3.2301740812379109</v>
      </c>
      <c r="Q15" s="191"/>
    </row>
    <row r="16" spans="2:17" x14ac:dyDescent="0.3">
      <c r="B16" s="85"/>
      <c r="C16" s="180" t="s">
        <v>27</v>
      </c>
      <c r="D16" s="181">
        <f>AVERAGE(#REF!,#REF!,#REF!,#REF!,#REF!,#REF!,#REF!)</f>
        <v>33.142857142857146</v>
      </c>
      <c r="E16" s="181">
        <f>AVERAGE(#REF!,#REF!,#REF!,#REF!,#REF!,#REF!,#REF!)</f>
        <v>0</v>
      </c>
      <c r="F16" s="181">
        <f>AVERAGE(#REF!,#REF!,#REF!,#REF!,#REF!,#REF!,#REF!)</f>
        <v>0.14285714285714285</v>
      </c>
      <c r="G16" s="181">
        <f>AVERAGE(#REF!,#REF!,#REF!,#REF!,#REF!,#REF!,#REF!)</f>
        <v>0.2857142857142857</v>
      </c>
      <c r="H16" s="181">
        <f t="shared" si="0"/>
        <v>33.571428571428577</v>
      </c>
      <c r="I16" s="182">
        <f t="shared" si="1"/>
        <v>4.9297251940423763</v>
      </c>
      <c r="J16" s="180" t="s">
        <v>27</v>
      </c>
      <c r="K16" s="8">
        <f>AVERAGE(#REF!,#REF!,#REF!,#REF!,#REF!,#REF!,#REF!)</f>
        <v>42.857142857142854</v>
      </c>
      <c r="L16" s="8">
        <f>AVERAGE(#REF!,#REF!,#REF!,#REF!,#REF!,#REF!,#REF!)</f>
        <v>1</v>
      </c>
      <c r="M16" s="8">
        <f>AVERAGE(#REF!,#REF!,#REF!,#REF!,#REF!,#REF!,#REF!)</f>
        <v>0.2857142857142857</v>
      </c>
      <c r="N16" s="8">
        <f>AVERAGE(#REF!,#REF!,#REF!,#REF!,#REF!,#REF!,#REF!)</f>
        <v>3.4285714285714284</v>
      </c>
      <c r="O16" s="181">
        <f t="shared" si="2"/>
        <v>47.571428571428569</v>
      </c>
      <c r="P16" s="4">
        <f t="shared" si="3"/>
        <v>6.4410058027079309</v>
      </c>
      <c r="Q16" s="190">
        <f>SUM(P16:P21)</f>
        <v>41.586073500967117</v>
      </c>
    </row>
    <row r="17" spans="2:17" x14ac:dyDescent="0.3">
      <c r="B17" s="85"/>
      <c r="C17" s="180" t="s">
        <v>28</v>
      </c>
      <c r="D17" s="181">
        <f>AVERAGE(#REF!,#REF!,#REF!,#REF!,#REF!,#REF!,#REF!)</f>
        <v>42.142857142857146</v>
      </c>
      <c r="E17" s="181">
        <f>AVERAGE(#REF!,#REF!,#REF!,#REF!,#REF!,#REF!,#REF!)</f>
        <v>0.5714285714285714</v>
      </c>
      <c r="F17" s="181">
        <f>AVERAGE(#REF!,#REF!,#REF!,#REF!,#REF!,#REF!,#REF!)</f>
        <v>0.5714285714285714</v>
      </c>
      <c r="G17" s="181">
        <f>AVERAGE(#REF!,#REF!,#REF!,#REF!,#REF!,#REF!,#REF!)</f>
        <v>3.4285714285714284</v>
      </c>
      <c r="H17" s="181">
        <f t="shared" si="0"/>
        <v>46.714285714285715</v>
      </c>
      <c r="I17" s="182">
        <f t="shared" si="1"/>
        <v>6.8596601636249224</v>
      </c>
      <c r="J17" s="180" t="s">
        <v>28</v>
      </c>
      <c r="K17" s="8">
        <f>AVERAGE(#REF!,#REF!,#REF!,#REF!,#REF!,#REF!,#REF!)</f>
        <v>54.428571428571431</v>
      </c>
      <c r="L17" s="8">
        <f>AVERAGE(#REF!,#REF!,#REF!,#REF!,#REF!,#REF!,#REF!)</f>
        <v>1.4285714285714286</v>
      </c>
      <c r="M17" s="8">
        <f>AVERAGE(#REF!,#REF!,#REF!,#REF!,#REF!,#REF!,#REF!)</f>
        <v>0.8571428571428571</v>
      </c>
      <c r="N17" s="8">
        <f>AVERAGE(#REF!,#REF!,#REF!,#REF!,#REF!,#REF!,#REF!)</f>
        <v>2.5714285714285716</v>
      </c>
      <c r="O17" s="181">
        <f t="shared" si="2"/>
        <v>59.285714285714285</v>
      </c>
      <c r="P17" s="4">
        <f t="shared" si="3"/>
        <v>8.0270793036750501</v>
      </c>
      <c r="Q17" s="191"/>
    </row>
    <row r="18" spans="2:17" x14ac:dyDescent="0.3">
      <c r="B18" s="85"/>
      <c r="C18" s="180" t="s">
        <v>29</v>
      </c>
      <c r="D18" s="181">
        <f>AVERAGE(#REF!,#REF!,#REF!,#REF!,#REF!,#REF!,#REF!)</f>
        <v>36.571428571428569</v>
      </c>
      <c r="E18" s="181">
        <f>AVERAGE(#REF!,#REF!,#REF!,#REF!,#REF!,#REF!,#REF!)</f>
        <v>0.42857142857142855</v>
      </c>
      <c r="F18" s="181">
        <f>AVERAGE(#REF!,#REF!,#REF!,#REF!,#REF!,#REF!,#REF!)</f>
        <v>0.7142857142857143</v>
      </c>
      <c r="G18" s="181">
        <f>AVERAGE(#REF!,#REF!,#REF!,#REF!,#REF!,#REF!,#REF!)</f>
        <v>4.7142857142857144</v>
      </c>
      <c r="H18" s="181">
        <f t="shared" si="0"/>
        <v>42.428571428571431</v>
      </c>
      <c r="I18" s="182">
        <f t="shared" si="1"/>
        <v>6.2303335431088751</v>
      </c>
      <c r="J18" s="180" t="s">
        <v>29</v>
      </c>
      <c r="K18" s="8">
        <f>AVERAGE(#REF!,#REF!,#REF!,#REF!,#REF!,#REF!,#REF!)</f>
        <v>45.428571428571431</v>
      </c>
      <c r="L18" s="8">
        <f>AVERAGE(#REF!,#REF!,#REF!,#REF!,#REF!,#REF!,#REF!)</f>
        <v>2.5714285714285716</v>
      </c>
      <c r="M18" s="8">
        <f>AVERAGE(#REF!,#REF!,#REF!,#REF!,#REF!,#REF!,#REF!)</f>
        <v>0.8571428571428571</v>
      </c>
      <c r="N18" s="8">
        <f>AVERAGE(#REF!,#REF!,#REF!,#REF!,#REF!,#REF!,#REF!)</f>
        <v>3.8571428571428572</v>
      </c>
      <c r="O18" s="181">
        <f t="shared" si="2"/>
        <v>52.714285714285708</v>
      </c>
      <c r="P18" s="4">
        <f t="shared" si="3"/>
        <v>7.137330754352031</v>
      </c>
      <c r="Q18" s="191"/>
    </row>
    <row r="19" spans="2:17" x14ac:dyDescent="0.3">
      <c r="B19" s="85"/>
      <c r="C19" s="180" t="s">
        <v>30</v>
      </c>
      <c r="D19" s="181">
        <f>AVERAGE(#REF!,#REF!,#REF!,#REF!,#REF!,#REF!,#REF!)</f>
        <v>32.714285714285715</v>
      </c>
      <c r="E19" s="181">
        <f>AVERAGE(#REF!,#REF!,#REF!,#REF!,#REF!,#REF!,#REF!)</f>
        <v>0.7142857142857143</v>
      </c>
      <c r="F19" s="181">
        <f>AVERAGE(#REF!,#REF!,#REF!,#REF!,#REF!,#REF!,#REF!)</f>
        <v>0.5714285714285714</v>
      </c>
      <c r="G19" s="181">
        <f>AVERAGE(#REF!,#REF!,#REF!,#REF!,#REF!,#REF!,#REF!)</f>
        <v>5.5714285714285712</v>
      </c>
      <c r="H19" s="181">
        <f t="shared" si="0"/>
        <v>39.571428571428569</v>
      </c>
      <c r="I19" s="182">
        <f t="shared" si="1"/>
        <v>5.8107824627648421</v>
      </c>
      <c r="J19" s="180" t="s">
        <v>30</v>
      </c>
      <c r="K19" s="8">
        <f>AVERAGE(#REF!,#REF!,#REF!,#REF!,#REF!,#REF!,#REF!)</f>
        <v>34.285714285714285</v>
      </c>
      <c r="L19" s="8">
        <f>AVERAGE(#REF!,#REF!,#REF!,#REF!,#REF!,#REF!,#REF!)</f>
        <v>2.7142857142857144</v>
      </c>
      <c r="M19" s="8">
        <f>AVERAGE(#REF!,#REF!,#REF!,#REF!,#REF!,#REF!,#REF!)</f>
        <v>1</v>
      </c>
      <c r="N19" s="8">
        <f>AVERAGE(#REF!,#REF!,#REF!,#REF!,#REF!,#REF!,#REF!)</f>
        <v>3.5714285714285716</v>
      </c>
      <c r="O19" s="181">
        <f t="shared" si="2"/>
        <v>41.571428571428569</v>
      </c>
      <c r="P19" s="4">
        <f t="shared" si="3"/>
        <v>5.6286266924564803</v>
      </c>
      <c r="Q19" s="191"/>
    </row>
    <row r="20" spans="2:17" x14ac:dyDescent="0.3">
      <c r="B20" s="85"/>
      <c r="C20" s="180" t="s">
        <v>31</v>
      </c>
      <c r="D20" s="181">
        <f>AVERAGE(#REF!,#REF!,#REF!,#REF!,#REF!,#REF!,#REF!)</f>
        <v>30.571428571428573</v>
      </c>
      <c r="E20" s="181">
        <f>AVERAGE(#REF!,#REF!,#REF!,#REF!,#REF!,#REF!,#REF!)</f>
        <v>0.8571428571428571</v>
      </c>
      <c r="F20" s="181">
        <f>AVERAGE(#REF!,#REF!,#REF!,#REF!,#REF!,#REF!,#REF!)</f>
        <v>1.5714285714285714</v>
      </c>
      <c r="G20" s="181">
        <f>AVERAGE(#REF!,#REF!,#REF!,#REF!,#REF!,#REF!,#REF!)</f>
        <v>6</v>
      </c>
      <c r="H20" s="181">
        <f t="shared" si="0"/>
        <v>39</v>
      </c>
      <c r="I20" s="182">
        <f t="shared" si="1"/>
        <v>5.7268722466960362</v>
      </c>
      <c r="J20" s="180" t="s">
        <v>31</v>
      </c>
      <c r="K20" s="8">
        <f>AVERAGE(#REF!,#REF!,#REF!,#REF!,#REF!,#REF!,#REF!)</f>
        <v>48</v>
      </c>
      <c r="L20" s="8">
        <f>AVERAGE(#REF!,#REF!,#REF!,#REF!,#REF!,#REF!,#REF!)</f>
        <v>4.8571428571428568</v>
      </c>
      <c r="M20" s="8">
        <f>AVERAGE(#REF!,#REF!,#REF!,#REF!,#REF!,#REF!,#REF!)</f>
        <v>0.5714285714285714</v>
      </c>
      <c r="N20" s="8">
        <f>AVERAGE(#REF!,#REF!,#REF!,#REF!,#REF!,#REF!,#REF!)</f>
        <v>5.8571428571428568</v>
      </c>
      <c r="O20" s="181">
        <f t="shared" si="2"/>
        <v>59.285714285714278</v>
      </c>
      <c r="P20" s="4">
        <f t="shared" si="3"/>
        <v>8.0270793036750483</v>
      </c>
      <c r="Q20" s="191"/>
    </row>
    <row r="21" spans="2:17" x14ac:dyDescent="0.3">
      <c r="B21" s="85"/>
      <c r="C21" s="180" t="s">
        <v>32</v>
      </c>
      <c r="D21" s="181">
        <f>AVERAGE(#REF!,#REF!,#REF!,#REF!,#REF!,#REF!,#REF!)</f>
        <v>29.285714285714285</v>
      </c>
      <c r="E21" s="181">
        <f>AVERAGE(#REF!,#REF!,#REF!,#REF!,#REF!,#REF!,#REF!)</f>
        <v>0.7142857142857143</v>
      </c>
      <c r="F21" s="181">
        <f>AVERAGE(#REF!,#REF!,#REF!,#REF!,#REF!,#REF!,#REF!)</f>
        <v>1.8571428571428572</v>
      </c>
      <c r="G21" s="181">
        <f>AVERAGE(#REF!,#REF!,#REF!,#REF!,#REF!,#REF!,#REF!)</f>
        <v>8.4285714285714288</v>
      </c>
      <c r="H21" s="181">
        <f t="shared" si="0"/>
        <v>40.285714285714285</v>
      </c>
      <c r="I21" s="182">
        <f t="shared" si="1"/>
        <v>5.9156702328508501</v>
      </c>
      <c r="J21" s="180" t="s">
        <v>32</v>
      </c>
      <c r="K21" s="8">
        <f>AVERAGE(#REF!,#REF!,#REF!,#REF!,#REF!,#REF!,#REF!)</f>
        <v>36.857142857142854</v>
      </c>
      <c r="L21" s="8">
        <f>AVERAGE(#REF!,#REF!,#REF!,#REF!,#REF!,#REF!,#REF!)</f>
        <v>2.5714285714285716</v>
      </c>
      <c r="M21" s="8">
        <f>AVERAGE(#REF!,#REF!,#REF!,#REF!,#REF!,#REF!,#REF!)</f>
        <v>1.7142857142857142</v>
      </c>
      <c r="N21" s="8">
        <f>AVERAGE(#REF!,#REF!,#REF!,#REF!,#REF!,#REF!,#REF!)</f>
        <v>5.5714285714285712</v>
      </c>
      <c r="O21" s="181">
        <f t="shared" si="2"/>
        <v>46.714285714285708</v>
      </c>
      <c r="P21" s="4">
        <f t="shared" si="3"/>
        <v>6.3249516441005804</v>
      </c>
      <c r="Q21" s="191"/>
    </row>
    <row r="22" spans="2:17" x14ac:dyDescent="0.3">
      <c r="B22" s="85"/>
      <c r="C22" s="180" t="s">
        <v>33</v>
      </c>
      <c r="D22" s="181">
        <f>AVERAGE(#REF!,#REF!,#REF!,#REF!,#REF!,#REF!,#REF!)</f>
        <v>34.142857142857146</v>
      </c>
      <c r="E22" s="181">
        <f>AVERAGE(#REF!,#REF!,#REF!,#REF!,#REF!,#REF!,#REF!)</f>
        <v>0.8571428571428571</v>
      </c>
      <c r="F22" s="181">
        <f>AVERAGE(#REF!,#REF!,#REF!,#REF!,#REF!,#REF!,#REF!)</f>
        <v>2.7142857142857144</v>
      </c>
      <c r="G22" s="181">
        <f>AVERAGE(#REF!,#REF!,#REF!,#REF!,#REF!,#REF!,#REF!)</f>
        <v>8.1428571428571423</v>
      </c>
      <c r="H22" s="181">
        <f t="shared" si="0"/>
        <v>45.857142857142861</v>
      </c>
      <c r="I22" s="182">
        <f t="shared" si="1"/>
        <v>6.733794839521714</v>
      </c>
      <c r="J22" s="180" t="s">
        <v>33</v>
      </c>
      <c r="K22" s="8">
        <f>AVERAGE(#REF!,#REF!,#REF!,#REF!,#REF!,#REF!,#REF!)</f>
        <v>35.571428571428569</v>
      </c>
      <c r="L22" s="8">
        <f>AVERAGE(#REF!,#REF!,#REF!,#REF!,#REF!,#REF!,#REF!)</f>
        <v>2</v>
      </c>
      <c r="M22" s="8">
        <f>AVERAGE(#REF!,#REF!,#REF!,#REF!,#REF!,#REF!,#REF!)</f>
        <v>1.1428571428571428</v>
      </c>
      <c r="N22" s="8">
        <f>AVERAGE(#REF!,#REF!,#REF!,#REF!,#REF!,#REF!,#REF!)</f>
        <v>8.4285714285714288</v>
      </c>
      <c r="O22" s="181">
        <f t="shared" si="2"/>
        <v>47.142857142857146</v>
      </c>
      <c r="P22" s="4">
        <f t="shared" si="3"/>
        <v>6.382978723404257</v>
      </c>
      <c r="Q22" s="190">
        <f>SUM(P22:P27)</f>
        <v>38.684719535783373</v>
      </c>
    </row>
    <row r="23" spans="2:17" x14ac:dyDescent="0.3">
      <c r="B23" s="85"/>
      <c r="C23" s="180" t="s">
        <v>34</v>
      </c>
      <c r="D23" s="181">
        <f>AVERAGE(#REF!,#REF!,#REF!,#REF!,#REF!,#REF!,#REF!)</f>
        <v>36.714285714285715</v>
      </c>
      <c r="E23" s="181">
        <f>AVERAGE(#REF!,#REF!,#REF!,#REF!,#REF!,#REF!,#REF!)</f>
        <v>1.7142857142857142</v>
      </c>
      <c r="F23" s="181">
        <f>AVERAGE(#REF!,#REF!,#REF!,#REF!,#REF!,#REF!,#REF!)</f>
        <v>2</v>
      </c>
      <c r="G23" s="181">
        <f>AVERAGE(#REF!,#REF!,#REF!,#REF!,#REF!,#REF!,#REF!)</f>
        <v>5.1428571428571432</v>
      </c>
      <c r="H23" s="181">
        <f t="shared" si="0"/>
        <v>45.571428571428577</v>
      </c>
      <c r="I23" s="182">
        <f t="shared" si="1"/>
        <v>6.6918397314873106</v>
      </c>
      <c r="J23" s="180" t="s">
        <v>34</v>
      </c>
      <c r="K23" s="8">
        <f>AVERAGE(#REF!,#REF!,#REF!,#REF!,#REF!,#REF!,#REF!)</f>
        <v>43</v>
      </c>
      <c r="L23" s="8">
        <f>AVERAGE(#REF!,#REF!,#REF!,#REF!,#REF!,#REF!,#REF!)</f>
        <v>4.4285714285714288</v>
      </c>
      <c r="M23" s="8">
        <f>AVERAGE(#REF!,#REF!,#REF!,#REF!,#REF!,#REF!,#REF!)</f>
        <v>1.1428571428571428</v>
      </c>
      <c r="N23" s="8">
        <f>AVERAGE(#REF!,#REF!,#REF!,#REF!,#REF!,#REF!,#REF!)</f>
        <v>4.2857142857142856</v>
      </c>
      <c r="O23" s="181">
        <f t="shared" si="2"/>
        <v>52.857142857142861</v>
      </c>
      <c r="P23" s="4">
        <f t="shared" si="3"/>
        <v>7.1566731141199247</v>
      </c>
      <c r="Q23" s="191"/>
    </row>
    <row r="24" spans="2:17" x14ac:dyDescent="0.3">
      <c r="B24" s="85"/>
      <c r="C24" s="180" t="s">
        <v>35</v>
      </c>
      <c r="D24" s="181">
        <f>AVERAGE(#REF!,#REF!,#REF!,#REF!,#REF!,#REF!,#REF!)</f>
        <v>37</v>
      </c>
      <c r="E24" s="181">
        <f>AVERAGE(#REF!,#REF!,#REF!,#REF!,#REF!,#REF!,#REF!)</f>
        <v>0.7142857142857143</v>
      </c>
      <c r="F24" s="181">
        <f>AVERAGE(#REF!,#REF!,#REF!,#REF!,#REF!,#REF!,#REF!)</f>
        <v>1.2857142857142858</v>
      </c>
      <c r="G24" s="181">
        <f>AVERAGE(#REF!,#REF!,#REF!,#REF!,#REF!,#REF!,#REF!)</f>
        <v>8.1428571428571423</v>
      </c>
      <c r="H24" s="181">
        <f t="shared" si="0"/>
        <v>47.142857142857139</v>
      </c>
      <c r="I24" s="182">
        <f t="shared" si="1"/>
        <v>6.9225928256765261</v>
      </c>
      <c r="J24" s="180" t="s">
        <v>35</v>
      </c>
      <c r="K24" s="8">
        <f>AVERAGE(#REF!,#REF!,#REF!,#REF!,#REF!,#REF!,#REF!)</f>
        <v>36.714285714285715</v>
      </c>
      <c r="L24" s="8">
        <f>AVERAGE(#REF!,#REF!,#REF!,#REF!,#REF!,#REF!,#REF!)</f>
        <v>3</v>
      </c>
      <c r="M24" s="8">
        <f>AVERAGE(#REF!,#REF!,#REF!,#REF!,#REF!,#REF!,#REF!)</f>
        <v>0.7142857142857143</v>
      </c>
      <c r="N24" s="8">
        <f>AVERAGE(#REF!,#REF!,#REF!,#REF!,#REF!,#REF!,#REF!)</f>
        <v>5</v>
      </c>
      <c r="O24" s="181">
        <f t="shared" si="2"/>
        <v>45.428571428571431</v>
      </c>
      <c r="P24" s="4">
        <f t="shared" si="3"/>
        <v>6.1508704061895569</v>
      </c>
      <c r="Q24" s="191"/>
    </row>
    <row r="25" spans="2:17" x14ac:dyDescent="0.3">
      <c r="B25" s="85"/>
      <c r="C25" s="180" t="s">
        <v>36</v>
      </c>
      <c r="D25" s="181">
        <f>AVERAGE(#REF!,#REF!,#REF!,#REF!,#REF!,#REF!,#REF!)</f>
        <v>30</v>
      </c>
      <c r="E25" s="181">
        <f>AVERAGE(#REF!,#REF!,#REF!,#REF!,#REF!,#REF!,#REF!)</f>
        <v>1.4285714285714286</v>
      </c>
      <c r="F25" s="181">
        <f>AVERAGE(#REF!,#REF!,#REF!,#REF!,#REF!,#REF!,#REF!)</f>
        <v>3.4285714285714284</v>
      </c>
      <c r="G25" s="181">
        <f>AVERAGE(#REF!,#REF!,#REF!,#REF!,#REF!,#REF!,#REF!)</f>
        <v>5.7142857142857144</v>
      </c>
      <c r="H25" s="181">
        <f t="shared" si="0"/>
        <v>40.571428571428569</v>
      </c>
      <c r="I25" s="182">
        <f t="shared" si="1"/>
        <v>5.9576253408852535</v>
      </c>
      <c r="J25" s="180" t="s">
        <v>36</v>
      </c>
      <c r="K25" s="8">
        <f>AVERAGE(#REF!,#REF!,#REF!,#REF!,#REF!,#REF!,#REF!)</f>
        <v>36.857142857142854</v>
      </c>
      <c r="L25" s="8">
        <f>AVERAGE(#REF!,#REF!,#REF!,#REF!,#REF!,#REF!,#REF!)</f>
        <v>3.1428571428571428</v>
      </c>
      <c r="M25" s="8">
        <f>AVERAGE(#REF!,#REF!,#REF!,#REF!,#REF!,#REF!,#REF!)</f>
        <v>2.5714285714285716</v>
      </c>
      <c r="N25" s="8">
        <f>AVERAGE(#REF!,#REF!,#REF!,#REF!,#REF!,#REF!,#REF!)</f>
        <v>9.8571428571428577</v>
      </c>
      <c r="O25" s="181">
        <f t="shared" si="2"/>
        <v>52.428571428571431</v>
      </c>
      <c r="P25" s="4">
        <f t="shared" si="3"/>
        <v>7.098646034816249</v>
      </c>
      <c r="Q25" s="191"/>
    </row>
    <row r="26" spans="2:17" x14ac:dyDescent="0.3">
      <c r="B26" s="85"/>
      <c r="C26" s="180" t="s">
        <v>37</v>
      </c>
      <c r="D26" s="181">
        <f>AVERAGE(#REF!,#REF!,#REF!,#REF!,#REF!,#REF!,#REF!)</f>
        <v>32.571428571428569</v>
      </c>
      <c r="E26" s="181">
        <f>AVERAGE(#REF!,#REF!,#REF!,#REF!,#REF!,#REF!,#REF!)</f>
        <v>1.4285714285714286</v>
      </c>
      <c r="F26" s="181">
        <f>AVERAGE(#REF!,#REF!,#REF!,#REF!,#REF!,#REF!,#REF!)</f>
        <v>3.2857142857142856</v>
      </c>
      <c r="G26" s="181">
        <f>AVERAGE(#REF!,#REF!,#REF!,#REF!,#REF!,#REF!,#REF!)</f>
        <v>9.5714285714285712</v>
      </c>
      <c r="H26" s="181">
        <f t="shared" si="0"/>
        <v>46.857142857142854</v>
      </c>
      <c r="I26" s="182">
        <f t="shared" si="1"/>
        <v>6.8806377176421236</v>
      </c>
      <c r="J26" s="180" t="s">
        <v>37</v>
      </c>
      <c r="K26" s="8">
        <f>AVERAGE(#REF!,#REF!,#REF!,#REF!,#REF!,#REF!,#REF!)</f>
        <v>31.428571428571427</v>
      </c>
      <c r="L26" s="8">
        <f>AVERAGE(#REF!,#REF!,#REF!,#REF!,#REF!,#REF!,#REF!)</f>
        <v>3.5714285714285716</v>
      </c>
      <c r="M26" s="8">
        <f>AVERAGE(#REF!,#REF!,#REF!,#REF!,#REF!,#REF!,#REF!)</f>
        <v>2.8571428571428572</v>
      </c>
      <c r="N26" s="8">
        <f>AVERAGE(#REF!,#REF!,#REF!,#REF!,#REF!,#REF!,#REF!)</f>
        <v>9</v>
      </c>
      <c r="O26" s="181">
        <f t="shared" si="2"/>
        <v>46.857142857142854</v>
      </c>
      <c r="P26" s="4">
        <f t="shared" si="3"/>
        <v>6.3442940038684723</v>
      </c>
      <c r="Q26" s="191"/>
    </row>
    <row r="27" spans="2:17" x14ac:dyDescent="0.3">
      <c r="B27" s="85"/>
      <c r="C27" s="180" t="s">
        <v>38</v>
      </c>
      <c r="D27" s="181">
        <f>AVERAGE(#REF!,#REF!,#REF!,#REF!,#REF!,#REF!,#REF!)</f>
        <v>32.285714285714285</v>
      </c>
      <c r="E27" s="181">
        <f>AVERAGE(#REF!,#REF!,#REF!,#REF!,#REF!,#REF!,#REF!)</f>
        <v>0.7142857142857143</v>
      </c>
      <c r="F27" s="181">
        <f>AVERAGE(#REF!,#REF!,#REF!,#REF!,#REF!,#REF!,#REF!)</f>
        <v>2.5714285714285716</v>
      </c>
      <c r="G27" s="181">
        <f>AVERAGE(#REF!,#REF!,#REF!,#REF!,#REF!,#REF!,#REF!)</f>
        <v>6.5714285714285712</v>
      </c>
      <c r="H27" s="181">
        <f t="shared" si="0"/>
        <v>42.142857142857139</v>
      </c>
      <c r="I27" s="182">
        <f t="shared" si="1"/>
        <v>6.1883784350744708</v>
      </c>
      <c r="J27" s="180" t="s">
        <v>38</v>
      </c>
      <c r="K27" s="8">
        <f>AVERAGE(#REF!,#REF!,#REF!,#REF!,#REF!,#REF!,#REF!)</f>
        <v>30.142857142857142</v>
      </c>
      <c r="L27" s="8">
        <f>AVERAGE(#REF!,#REF!,#REF!,#REF!,#REF!,#REF!,#REF!)</f>
        <v>2.1428571428571428</v>
      </c>
      <c r="M27" s="8">
        <f>AVERAGE(#REF!,#REF!,#REF!,#REF!,#REF!,#REF!,#REF!)</f>
        <v>1.2857142857142858</v>
      </c>
      <c r="N27" s="8">
        <f>AVERAGE(#REF!,#REF!,#REF!,#REF!,#REF!,#REF!,#REF!)</f>
        <v>7.4285714285714288</v>
      </c>
      <c r="O27" s="181">
        <f t="shared" si="2"/>
        <v>41</v>
      </c>
      <c r="P27" s="4">
        <f t="shared" si="3"/>
        <v>5.5512572533849136</v>
      </c>
      <c r="Q27" s="191"/>
    </row>
    <row r="28" spans="2:17" x14ac:dyDescent="0.3">
      <c r="B28" s="85"/>
      <c r="C28" s="180" t="s">
        <v>39</v>
      </c>
      <c r="D28" s="181">
        <f>AVERAGE(#REF!,#REF!,#REF!,#REF!,#REF!,#REF!,#REF!)</f>
        <v>46</v>
      </c>
      <c r="E28" s="181">
        <f>AVERAGE(#REF!,#REF!,#REF!,#REF!,#REF!,#REF!,#REF!)</f>
        <v>1.4285714285714286</v>
      </c>
      <c r="F28" s="181">
        <f>AVERAGE(#REF!,#REF!,#REF!,#REF!,#REF!,#REF!,#REF!)</f>
        <v>2.1428571428571428</v>
      </c>
      <c r="G28" s="181">
        <f>AVERAGE(#REF!,#REF!,#REF!,#REF!,#REF!,#REF!,#REF!)</f>
        <v>6.7142857142857144</v>
      </c>
      <c r="H28" s="181">
        <f t="shared" si="0"/>
        <v>56.285714285714292</v>
      </c>
      <c r="I28" s="182">
        <f t="shared" si="1"/>
        <v>8.265156282777431</v>
      </c>
      <c r="J28" s="180" t="s">
        <v>39</v>
      </c>
      <c r="K28" s="8">
        <f>AVERAGE(#REF!,#REF!,#REF!,#REF!,#REF!,#REF!,#REF!)</f>
        <v>35.285714285714285</v>
      </c>
      <c r="L28" s="8">
        <f>AVERAGE(#REF!,#REF!,#REF!,#REF!,#REF!,#REF!,#REF!)</f>
        <v>1.2857142857142858</v>
      </c>
      <c r="M28" s="8">
        <f>AVERAGE(#REF!,#REF!,#REF!,#REF!,#REF!,#REF!,#REF!)</f>
        <v>2.4285714285714284</v>
      </c>
      <c r="N28" s="8">
        <f>AVERAGE(#REF!,#REF!,#REF!,#REF!,#REF!,#REF!,#REF!)</f>
        <v>6</v>
      </c>
      <c r="O28" s="181">
        <f t="shared" si="2"/>
        <v>45</v>
      </c>
      <c r="P28" s="4">
        <f t="shared" si="3"/>
        <v>6.0928433268858813</v>
      </c>
      <c r="Q28" s="190">
        <f>SUM(P28:P33)</f>
        <v>14.758220502901356</v>
      </c>
    </row>
    <row r="29" spans="2:17" x14ac:dyDescent="0.3">
      <c r="B29" s="85"/>
      <c r="C29" s="180" t="s">
        <v>40</v>
      </c>
      <c r="D29" s="181">
        <f>AVERAGE(#REF!,#REF!,#REF!,#REF!,#REF!,#REF!,#REF!)</f>
        <v>45</v>
      </c>
      <c r="E29" s="181">
        <f>AVERAGE(#REF!,#REF!,#REF!,#REF!,#REF!,#REF!,#REF!)</f>
        <v>1.1428571428571428</v>
      </c>
      <c r="F29" s="181">
        <f>AVERAGE(#REF!,#REF!,#REF!,#REF!,#REF!,#REF!,#REF!)</f>
        <v>0.14285714285714285</v>
      </c>
      <c r="G29" s="181">
        <f>AVERAGE(#REF!,#REF!,#REF!,#REF!,#REF!,#REF!,#REF!)</f>
        <v>5.1428571428571432</v>
      </c>
      <c r="H29" s="181">
        <f t="shared" si="0"/>
        <v>51.428571428571438</v>
      </c>
      <c r="I29" s="182">
        <f t="shared" si="1"/>
        <v>7.5519194461925769</v>
      </c>
      <c r="J29" s="180" t="s">
        <v>40</v>
      </c>
      <c r="K29" s="8">
        <f>AVERAGE(#REF!,#REF!,#REF!,#REF!,#REF!,#REF!,#REF!)</f>
        <v>27</v>
      </c>
      <c r="L29" s="8">
        <f>AVERAGE(#REF!,#REF!,#REF!,#REF!,#REF!,#REF!,#REF!)</f>
        <v>0.42857142857142855</v>
      </c>
      <c r="M29" s="8">
        <f>AVERAGE(#REF!,#REF!,#REF!,#REF!,#REF!,#REF!,#REF!)</f>
        <v>1.1428571428571428</v>
      </c>
      <c r="N29" s="8">
        <f>AVERAGE(#REF!,#REF!,#REF!,#REF!,#REF!,#REF!,#REF!)</f>
        <v>4.5714285714285712</v>
      </c>
      <c r="O29" s="181">
        <f t="shared" si="2"/>
        <v>33.142857142857139</v>
      </c>
      <c r="P29" s="4">
        <f t="shared" si="3"/>
        <v>4.4874274661508702</v>
      </c>
      <c r="Q29" s="191"/>
    </row>
    <row r="30" spans="2:17" x14ac:dyDescent="0.3">
      <c r="B30" s="85"/>
      <c r="C30" s="180" t="s">
        <v>41</v>
      </c>
      <c r="D30" s="181">
        <f>AVERAGE(#REF!,#REF!,#REF!,#REF!,#REF!,#REF!,#REF!)</f>
        <v>28.428571428571427</v>
      </c>
      <c r="E30" s="181">
        <f>AVERAGE(#REF!,#REF!,#REF!,#REF!,#REF!,#REF!,#REF!)</f>
        <v>2.1428571428571428</v>
      </c>
      <c r="F30" s="181">
        <f>AVERAGE(#REF!,#REF!,#REF!,#REF!,#REF!,#REF!,#REF!)</f>
        <v>0.14285714285714285</v>
      </c>
      <c r="G30" s="181">
        <f>AVERAGE(#REF!,#REF!,#REF!,#REF!,#REF!,#REF!,#REF!)</f>
        <v>2.4285714285714284</v>
      </c>
      <c r="H30" s="181">
        <f t="shared" si="0"/>
        <v>33.142857142857139</v>
      </c>
      <c r="I30" s="182">
        <f t="shared" si="1"/>
        <v>4.8667925319907699</v>
      </c>
      <c r="J30" s="180" t="s">
        <v>41</v>
      </c>
      <c r="K30" s="8">
        <f>AVERAGE(#REF!,#REF!,#REF!,#REF!,#REF!,#REF!,#REF!)</f>
        <v>12.142857142857142</v>
      </c>
      <c r="L30" s="8">
        <f>AVERAGE(#REF!,#REF!,#REF!,#REF!,#REF!,#REF!,#REF!)</f>
        <v>0.2857142857142857</v>
      </c>
      <c r="M30" s="8">
        <f>AVERAGE(#REF!,#REF!,#REF!,#REF!,#REF!,#REF!,#REF!)</f>
        <v>1.4285714285714286</v>
      </c>
      <c r="N30" s="8">
        <f>AVERAGE(#REF!,#REF!,#REF!,#REF!,#REF!,#REF!,#REF!)</f>
        <v>3.1428571428571428</v>
      </c>
      <c r="O30" s="181">
        <f t="shared" si="2"/>
        <v>17</v>
      </c>
      <c r="P30" s="4">
        <f t="shared" si="3"/>
        <v>2.3017408123791108</v>
      </c>
      <c r="Q30" s="191"/>
    </row>
    <row r="31" spans="2:17" x14ac:dyDescent="0.3">
      <c r="B31" s="85"/>
      <c r="C31" s="180" t="s">
        <v>42</v>
      </c>
      <c r="D31" s="181">
        <f>AVERAGE(#REF!,#REF!,#REF!,#REF!,#REF!,#REF!,#REF!)</f>
        <v>9.8571428571428577</v>
      </c>
      <c r="E31" s="181">
        <f>AVERAGE(#REF!,#REF!,#REF!,#REF!,#REF!,#REF!,#REF!)</f>
        <v>0.2857142857142857</v>
      </c>
      <c r="F31" s="181">
        <f>AVERAGE(#REF!,#REF!,#REF!,#REF!,#REF!,#REF!,#REF!)</f>
        <v>0</v>
      </c>
      <c r="G31" s="181">
        <f>AVERAGE(#REF!,#REF!,#REF!,#REF!,#REF!,#REF!,#REF!)</f>
        <v>1.2857142857142858</v>
      </c>
      <c r="H31" s="181">
        <f t="shared" si="0"/>
        <v>11.428571428571431</v>
      </c>
      <c r="I31" s="182">
        <f t="shared" si="1"/>
        <v>1.6782043213761282</v>
      </c>
      <c r="J31" s="180" t="s">
        <v>42</v>
      </c>
      <c r="K31" s="8">
        <f>AVERAGE(#REF!,#REF!,#REF!,#REF!,#REF!,#REF!,#REF!)</f>
        <v>7</v>
      </c>
      <c r="L31" s="8">
        <f>AVERAGE(#REF!,#REF!,#REF!,#REF!,#REF!,#REF!,#REF!)</f>
        <v>0.14285714285714285</v>
      </c>
      <c r="M31" s="8">
        <f>AVERAGE(#REF!,#REF!,#REF!,#REF!,#REF!,#REF!,#REF!)</f>
        <v>1.4285714285714286</v>
      </c>
      <c r="N31" s="8">
        <f>AVERAGE(#REF!,#REF!,#REF!,#REF!,#REF!,#REF!,#REF!)</f>
        <v>1.5714285714285714</v>
      </c>
      <c r="O31" s="181">
        <f t="shared" si="2"/>
        <v>10.142857142857142</v>
      </c>
      <c r="P31" s="4">
        <f t="shared" si="3"/>
        <v>1.3733075435203097</v>
      </c>
      <c r="Q31" s="191"/>
    </row>
    <row r="32" spans="2:17" x14ac:dyDescent="0.3">
      <c r="B32" s="85"/>
      <c r="C32" s="180" t="s">
        <v>43</v>
      </c>
      <c r="D32" s="181">
        <f>AVERAGE(#REF!,#REF!,#REF!,#REF!,#REF!,#REF!,#REF!)</f>
        <v>3.1428571428571428</v>
      </c>
      <c r="E32" s="181">
        <f>AVERAGE(#REF!,#REF!,#REF!,#REF!,#REF!,#REF!,#REF!)</f>
        <v>0.14285714285714285</v>
      </c>
      <c r="F32" s="181">
        <f>AVERAGE(#REF!,#REF!,#REF!,#REF!,#REF!,#REF!,#REF!)</f>
        <v>0.42857142857142855</v>
      </c>
      <c r="G32" s="181">
        <f>AVERAGE(#REF!,#REF!,#REF!,#REF!,#REF!,#REF!,#REF!)</f>
        <v>0.42857142857142855</v>
      </c>
      <c r="H32" s="181">
        <f t="shared" si="0"/>
        <v>4.1428571428571423</v>
      </c>
      <c r="I32" s="182">
        <f t="shared" si="1"/>
        <v>0.60834906649884624</v>
      </c>
      <c r="J32" s="180" t="s">
        <v>43</v>
      </c>
      <c r="K32" s="8">
        <f>AVERAGE(#REF!,#REF!,#REF!,#REF!,#REF!,#REF!,#REF!)</f>
        <v>0.8571428571428571</v>
      </c>
      <c r="L32" s="8">
        <f>AVERAGE(#REF!,#REF!,#REF!,#REF!,#REF!,#REF!,#REF!)</f>
        <v>0.2857142857142857</v>
      </c>
      <c r="M32" s="8">
        <f>AVERAGE(#REF!,#REF!,#REF!,#REF!,#REF!,#REF!,#REF!)</f>
        <v>0.5714285714285714</v>
      </c>
      <c r="N32" s="8">
        <f>AVERAGE(#REF!,#REF!,#REF!,#REF!,#REF!,#REF!,#REF!)</f>
        <v>0.8571428571428571</v>
      </c>
      <c r="O32" s="181">
        <f t="shared" si="2"/>
        <v>2.5714285714285712</v>
      </c>
      <c r="P32" s="4">
        <f t="shared" si="3"/>
        <v>0.34816247582205029</v>
      </c>
      <c r="Q32" s="191"/>
    </row>
    <row r="33" spans="2:17" x14ac:dyDescent="0.3">
      <c r="B33" s="85"/>
      <c r="C33" s="183" t="s">
        <v>44</v>
      </c>
      <c r="D33" s="184">
        <f>AVERAGE(#REF!,#REF!,#REF!,#REF!,#REF!,#REF!,#REF!)</f>
        <v>1</v>
      </c>
      <c r="E33" s="184">
        <f>AVERAGE(#REF!,#REF!,#REF!,#REF!,#REF!,#REF!,#REF!)</f>
        <v>0</v>
      </c>
      <c r="F33" s="184">
        <f>AVERAGE(#REF!,#REF!,#REF!,#REF!,#REF!,#REF!,#REF!)</f>
        <v>0</v>
      </c>
      <c r="G33" s="184">
        <f>AVERAGE(#REF!,#REF!,#REF!,#REF!,#REF!,#REF!,#REF!)</f>
        <v>0.14285714285714285</v>
      </c>
      <c r="H33" s="184">
        <f t="shared" si="0"/>
        <v>1.1428571428571428</v>
      </c>
      <c r="I33" s="182">
        <f t="shared" si="1"/>
        <v>0.16782043213761277</v>
      </c>
      <c r="J33" s="183" t="s">
        <v>44</v>
      </c>
      <c r="K33" s="10">
        <f>AVERAGE(#REF!,#REF!,#REF!,#REF!,#REF!,#REF!,#REF!)</f>
        <v>0.7142857142857143</v>
      </c>
      <c r="L33" s="10">
        <f>AVERAGE(#REF!,#REF!,#REF!,#REF!,#REF!,#REF!,#REF!)</f>
        <v>0</v>
      </c>
      <c r="M33" s="10">
        <f>AVERAGE(#REF!,#REF!,#REF!,#REF!,#REF!,#REF!,#REF!)</f>
        <v>0.14285714285714285</v>
      </c>
      <c r="N33" s="10">
        <f>AVERAGE(#REF!,#REF!,#REF!,#REF!,#REF!,#REF!,#REF!)</f>
        <v>0.2857142857142857</v>
      </c>
      <c r="O33" s="184">
        <f t="shared" si="2"/>
        <v>1.1428571428571428</v>
      </c>
      <c r="P33" s="4">
        <f t="shared" si="3"/>
        <v>0.15473887814313347</v>
      </c>
      <c r="Q33" s="191"/>
    </row>
    <row r="34" spans="2:17" x14ac:dyDescent="0.3">
      <c r="B34" s="85"/>
      <c r="C34" s="185" t="s">
        <v>45</v>
      </c>
      <c r="D34" s="186">
        <f>SUM(D10:D33)</f>
        <v>553.85714285714278</v>
      </c>
      <c r="E34" s="186">
        <f>SUM(E10:E33)</f>
        <v>15.428571428571427</v>
      </c>
      <c r="F34" s="186">
        <f>SUM(F10:F33)</f>
        <v>23.571428571428569</v>
      </c>
      <c r="G34" s="186">
        <f>SUM(G10:G33)</f>
        <v>88.142857142857153</v>
      </c>
      <c r="H34" s="186">
        <f t="shared" si="0"/>
        <v>680.99999999999989</v>
      </c>
      <c r="I34" s="85"/>
      <c r="J34" s="185" t="s">
        <v>45</v>
      </c>
      <c r="K34" s="186">
        <f>SUM(K10:K33)</f>
        <v>592.85714285714278</v>
      </c>
      <c r="L34" s="186">
        <f>SUM(L10:L33)</f>
        <v>36.428571428571438</v>
      </c>
      <c r="M34" s="186">
        <f>SUM(M10:M33)</f>
        <v>22.714285714285712</v>
      </c>
      <c r="N34" s="186">
        <f>SUM(N10:N33)</f>
        <v>86.571428571428569</v>
      </c>
      <c r="O34" s="186">
        <f t="shared" si="2"/>
        <v>738.57142857142844</v>
      </c>
    </row>
    <row r="36" spans="2:17" x14ac:dyDescent="0.3">
      <c r="H36" s="177">
        <f>33*100/H34</f>
        <v>4.8458149779735695</v>
      </c>
      <c r="I36" s="178">
        <f>SUM(I10:I15)</f>
        <v>2.0138451856513537</v>
      </c>
      <c r="J36" s="178">
        <f>SUM(I16:I22)</f>
        <v>42.206838682609622</v>
      </c>
      <c r="K36" s="178">
        <f>SUM(I22:I27)</f>
        <v>39.374868890287402</v>
      </c>
    </row>
    <row r="37" spans="2:17" x14ac:dyDescent="0.3">
      <c r="C37" s="192" t="s">
        <v>46</v>
      </c>
      <c r="D37" s="193" t="s">
        <v>47</v>
      </c>
      <c r="E37" s="193"/>
      <c r="F37" s="193"/>
      <c r="H37" s="179"/>
      <c r="I37" s="178">
        <f>SUM(I28:I29)</f>
        <v>15.817075728970007</v>
      </c>
      <c r="J37" s="178">
        <f>SUM(I28:I33)</f>
        <v>23.138242080973367</v>
      </c>
      <c r="K37" s="179"/>
    </row>
    <row r="38" spans="2:17" x14ac:dyDescent="0.3">
      <c r="C38" s="193"/>
      <c r="D38" s="5" t="s">
        <v>11</v>
      </c>
      <c r="E38" s="6" t="s">
        <v>12</v>
      </c>
      <c r="F38" s="5" t="s">
        <v>20</v>
      </c>
    </row>
    <row r="39" spans="2:17" x14ac:dyDescent="0.3">
      <c r="C39" s="7" t="s">
        <v>48</v>
      </c>
      <c r="D39" s="8">
        <v>821</v>
      </c>
      <c r="E39" s="7">
        <f>SUM(#REF!)</f>
        <v>1035</v>
      </c>
      <c r="F39" s="7">
        <f t="shared" ref="F39:F46" si="4">SUM(D39:E39)</f>
        <v>1856</v>
      </c>
      <c r="G39" s="178">
        <f t="shared" ref="G39:G45" si="5">F39*100/$F$46</f>
        <v>18.67766931669518</v>
      </c>
    </row>
    <row r="40" spans="2:17" x14ac:dyDescent="0.3">
      <c r="C40" s="7" t="s">
        <v>49</v>
      </c>
      <c r="D40" s="8">
        <v>816</v>
      </c>
      <c r="E40" s="7">
        <f>SUM(#REF!)</f>
        <v>828</v>
      </c>
      <c r="F40" s="7">
        <f t="shared" si="4"/>
        <v>1644</v>
      </c>
      <c r="G40" s="178">
        <f t="shared" si="5"/>
        <v>16.544228640434739</v>
      </c>
    </row>
    <row r="41" spans="2:17" x14ac:dyDescent="0.3">
      <c r="C41" s="7" t="s">
        <v>50</v>
      </c>
      <c r="D41" s="8">
        <v>711</v>
      </c>
      <c r="E41" s="7">
        <f>SUM(#REF!)</f>
        <v>773</v>
      </c>
      <c r="F41" s="7">
        <f t="shared" si="4"/>
        <v>1484</v>
      </c>
      <c r="G41" s="178">
        <f t="shared" si="5"/>
        <v>14.934084733823086</v>
      </c>
    </row>
    <row r="42" spans="2:17" x14ac:dyDescent="0.3">
      <c r="C42" s="7" t="s">
        <v>51</v>
      </c>
      <c r="D42" s="8">
        <v>754</v>
      </c>
      <c r="E42" s="7">
        <f>SUM(#REF!)</f>
        <v>828</v>
      </c>
      <c r="F42" s="7">
        <f t="shared" si="4"/>
        <v>1582</v>
      </c>
      <c r="G42" s="178">
        <f t="shared" si="5"/>
        <v>15.920297876622723</v>
      </c>
    </row>
    <row r="43" spans="2:17" x14ac:dyDescent="0.3">
      <c r="C43" s="7" t="s">
        <v>52</v>
      </c>
      <c r="D43" s="8">
        <v>705</v>
      </c>
      <c r="E43" s="7">
        <f>SUM(#REF!)</f>
        <v>752</v>
      </c>
      <c r="F43" s="7">
        <f t="shared" si="4"/>
        <v>1457</v>
      </c>
      <c r="G43" s="178">
        <f t="shared" si="5"/>
        <v>14.66237294958237</v>
      </c>
    </row>
    <row r="44" spans="2:17" x14ac:dyDescent="0.3">
      <c r="C44" s="7" t="s">
        <v>53</v>
      </c>
      <c r="D44" s="8">
        <v>581</v>
      </c>
      <c r="E44" s="7">
        <f>SUM(#REF!)</f>
        <v>553</v>
      </c>
      <c r="F44" s="7">
        <f t="shared" si="4"/>
        <v>1134</v>
      </c>
      <c r="G44" s="178">
        <f t="shared" si="5"/>
        <v>11.411894938110093</v>
      </c>
    </row>
    <row r="45" spans="2:17" x14ac:dyDescent="0.3">
      <c r="C45" s="9" t="s">
        <v>54</v>
      </c>
      <c r="D45" s="10">
        <v>379</v>
      </c>
      <c r="E45" s="9">
        <f>SUM(#REF!)</f>
        <v>401</v>
      </c>
      <c r="F45" s="9">
        <f t="shared" si="4"/>
        <v>780</v>
      </c>
      <c r="G45" s="178">
        <f t="shared" si="5"/>
        <v>7.8494515447318101</v>
      </c>
    </row>
    <row r="46" spans="2:17" x14ac:dyDescent="0.3">
      <c r="C46" s="11" t="s">
        <v>45</v>
      </c>
      <c r="D46" s="12">
        <f>SUM(D39:D45)</f>
        <v>4767</v>
      </c>
      <c r="E46" s="12">
        <f>SUM(E39:E45)</f>
        <v>5170</v>
      </c>
      <c r="F46" s="12">
        <f t="shared" si="4"/>
        <v>9937</v>
      </c>
    </row>
  </sheetData>
  <mergeCells count="12">
    <mergeCell ref="C7:H7"/>
    <mergeCell ref="J7:O7"/>
    <mergeCell ref="C8:C9"/>
    <mergeCell ref="D8:H8"/>
    <mergeCell ref="J8:J9"/>
    <mergeCell ref="K8:O8"/>
    <mergeCell ref="Q10:Q15"/>
    <mergeCell ref="Q16:Q21"/>
    <mergeCell ref="Q22:Q27"/>
    <mergeCell ref="Q28:Q33"/>
    <mergeCell ref="C37:C38"/>
    <mergeCell ref="D37:F3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F5AF1-083F-4411-9A0B-4CA52ADE6965}">
  <sheetPr>
    <pageSetUpPr autoPageBreaks="0"/>
  </sheetPr>
  <dimension ref="A1:AA90"/>
  <sheetViews>
    <sheetView showGridLines="0" zoomScale="70" zoomScaleNormal="70" workbookViewId="0"/>
  </sheetViews>
  <sheetFormatPr baseColWidth="10" defaultColWidth="11.5546875" defaultRowHeight="14.4" x14ac:dyDescent="0.3"/>
  <cols>
    <col min="3" max="3" width="13" customWidth="1"/>
    <col min="4" max="4" width="14.109375" customWidth="1"/>
    <col min="5" max="5" width="13.6640625" customWidth="1"/>
    <col min="6" max="6" width="27.109375" customWidth="1"/>
    <col min="7" max="7" width="14" customWidth="1"/>
    <col min="9" max="9" width="13" bestFit="1" customWidth="1"/>
    <col min="10" max="10" width="14.44140625" bestFit="1" customWidth="1"/>
    <col min="11" max="11" width="14.88671875" bestFit="1" customWidth="1"/>
    <col min="12" max="12" width="14.88671875" hidden="1" customWidth="1"/>
    <col min="13" max="18" width="0" hidden="1" customWidth="1"/>
    <col min="22" max="27" width="15.77734375" customWidth="1"/>
  </cols>
  <sheetData>
    <row r="1" spans="1:27" x14ac:dyDescent="0.3">
      <c r="A1" s="13"/>
      <c r="B1" s="14"/>
      <c r="C1" s="14"/>
      <c r="D1" s="14"/>
      <c r="E1" s="14"/>
      <c r="F1" s="14"/>
      <c r="G1" s="14"/>
      <c r="H1" s="14"/>
      <c r="I1" s="14"/>
      <c r="J1" s="14"/>
      <c r="K1" s="14"/>
      <c r="L1" s="15"/>
    </row>
    <row r="2" spans="1:27" ht="19.8" x14ac:dyDescent="0.4">
      <c r="A2" s="204" t="s">
        <v>55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16"/>
    </row>
    <row r="3" spans="1:27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27" x14ac:dyDescent="0.3">
      <c r="A4" s="17"/>
      <c r="B4" s="203" t="s">
        <v>56</v>
      </c>
      <c r="C4" s="203"/>
      <c r="D4" s="203"/>
      <c r="E4" s="203"/>
      <c r="F4" s="17"/>
      <c r="G4" s="17"/>
      <c r="H4" s="203" t="s">
        <v>57</v>
      </c>
      <c r="I4" s="203"/>
      <c r="J4" s="203"/>
      <c r="K4" s="203"/>
      <c r="L4" s="17"/>
    </row>
    <row r="5" spans="1:27" ht="30" customHeight="1" x14ac:dyDescent="0.3">
      <c r="A5" s="17"/>
      <c r="B5" s="18" t="s">
        <v>58</v>
      </c>
      <c r="C5" s="18" t="s">
        <v>59</v>
      </c>
      <c r="D5" s="18" t="s">
        <v>60</v>
      </c>
      <c r="E5" s="18" t="s">
        <v>61</v>
      </c>
      <c r="F5" s="19"/>
      <c r="G5" s="17"/>
      <c r="H5" s="18" t="s">
        <v>58</v>
      </c>
      <c r="I5" s="18" t="s">
        <v>59</v>
      </c>
      <c r="J5" s="18" t="s">
        <v>60</v>
      </c>
      <c r="K5" s="18" t="s">
        <v>61</v>
      </c>
      <c r="L5" s="18"/>
      <c r="V5" s="265" t="s">
        <v>246</v>
      </c>
      <c r="W5" s="265"/>
      <c r="X5" s="265"/>
      <c r="Y5" s="265"/>
      <c r="Z5" s="265"/>
      <c r="AA5" s="265"/>
    </row>
    <row r="6" spans="1:27" x14ac:dyDescent="0.3">
      <c r="A6" s="17"/>
      <c r="B6" s="20" t="s">
        <v>50</v>
      </c>
      <c r="C6" s="20" t="s">
        <v>62</v>
      </c>
      <c r="D6" s="20" t="s">
        <v>63</v>
      </c>
      <c r="E6" s="20">
        <f>#REF!</f>
        <v>8222</v>
      </c>
      <c r="F6" s="21"/>
      <c r="G6" s="17"/>
      <c r="H6" s="20" t="s">
        <v>50</v>
      </c>
      <c r="I6" s="20" t="s">
        <v>64</v>
      </c>
      <c r="J6" s="20" t="s">
        <v>65</v>
      </c>
      <c r="K6" s="22">
        <f>#REF!</f>
        <v>7676</v>
      </c>
      <c r="L6" s="21"/>
      <c r="V6" s="266" t="s">
        <v>247</v>
      </c>
      <c r="W6" s="266"/>
      <c r="X6" s="266"/>
      <c r="Y6" s="266"/>
      <c r="Z6" s="266"/>
      <c r="AA6" s="266"/>
    </row>
    <row r="7" spans="1:27" x14ac:dyDescent="0.3">
      <c r="A7" s="17"/>
      <c r="B7" s="20" t="s">
        <v>51</v>
      </c>
      <c r="C7" s="20" t="s">
        <v>62</v>
      </c>
      <c r="D7" s="20" t="s">
        <v>63</v>
      </c>
      <c r="E7" s="20">
        <f>#REF!</f>
        <v>8345</v>
      </c>
      <c r="F7" s="21"/>
      <c r="G7" s="17"/>
      <c r="H7" s="20" t="s">
        <v>51</v>
      </c>
      <c r="I7" s="20" t="s">
        <v>64</v>
      </c>
      <c r="J7" s="20" t="s">
        <v>65</v>
      </c>
      <c r="K7" s="22">
        <f>#REF!</f>
        <v>8055</v>
      </c>
      <c r="L7" s="21"/>
      <c r="V7" s="267"/>
      <c r="W7" s="267"/>
      <c r="X7" s="267"/>
      <c r="Y7" s="267"/>
      <c r="Z7" s="267"/>
      <c r="AA7" s="267"/>
    </row>
    <row r="8" spans="1:27" x14ac:dyDescent="0.3">
      <c r="A8" s="17"/>
      <c r="B8" s="20" t="s">
        <v>52</v>
      </c>
      <c r="C8" s="20" t="s">
        <v>62</v>
      </c>
      <c r="D8" s="20" t="s">
        <v>63</v>
      </c>
      <c r="E8" s="20">
        <f>#REF!</f>
        <v>8950</v>
      </c>
      <c r="F8" s="21"/>
      <c r="G8" s="17"/>
      <c r="H8" s="20" t="s">
        <v>52</v>
      </c>
      <c r="I8" s="20" t="s">
        <v>64</v>
      </c>
      <c r="J8" s="20" t="s">
        <v>65</v>
      </c>
      <c r="K8" s="22">
        <f>#REF!</f>
        <v>8094</v>
      </c>
      <c r="L8" s="21"/>
      <c r="V8" s="267" t="s">
        <v>167</v>
      </c>
      <c r="W8" s="268" t="s">
        <v>248</v>
      </c>
      <c r="X8" s="268"/>
      <c r="Y8" s="268"/>
      <c r="Z8" s="268"/>
      <c r="AA8" s="269" t="s">
        <v>130</v>
      </c>
    </row>
    <row r="9" spans="1:27" x14ac:dyDescent="0.3">
      <c r="A9" s="17"/>
      <c r="B9" s="20" t="s">
        <v>53</v>
      </c>
      <c r="C9" s="20" t="s">
        <v>62</v>
      </c>
      <c r="D9" s="20" t="s">
        <v>63</v>
      </c>
      <c r="E9" s="20">
        <f>#REF!</f>
        <v>9515</v>
      </c>
      <c r="F9" s="21"/>
      <c r="G9" s="17"/>
      <c r="H9" s="20" t="s">
        <v>53</v>
      </c>
      <c r="I9" s="20" t="s">
        <v>64</v>
      </c>
      <c r="J9" s="20" t="s">
        <v>65</v>
      </c>
      <c r="K9" s="22">
        <f>#REF!</f>
        <v>9057</v>
      </c>
      <c r="L9" s="21"/>
      <c r="V9" s="265"/>
      <c r="W9" s="270" t="s">
        <v>249</v>
      </c>
      <c r="X9" s="270" t="s">
        <v>250</v>
      </c>
      <c r="Y9" s="270" t="s">
        <v>251</v>
      </c>
      <c r="Z9" s="270" t="s">
        <v>252</v>
      </c>
      <c r="AA9" s="271"/>
    </row>
    <row r="10" spans="1:27" x14ac:dyDescent="0.3">
      <c r="A10" s="17"/>
      <c r="B10" s="20" t="s">
        <v>54</v>
      </c>
      <c r="C10" s="20" t="s">
        <v>62</v>
      </c>
      <c r="D10" s="20" t="s">
        <v>63</v>
      </c>
      <c r="E10" s="20">
        <f>#REF!</f>
        <v>6818</v>
      </c>
      <c r="F10" s="21">
        <f>SQRT(F11/6)</f>
        <v>1074.0979825837476</v>
      </c>
      <c r="G10" s="17"/>
      <c r="H10" s="20" t="s">
        <v>54</v>
      </c>
      <c r="I10" s="20" t="s">
        <v>64</v>
      </c>
      <c r="J10" s="20" t="s">
        <v>65</v>
      </c>
      <c r="K10" s="22">
        <f>#REF!</f>
        <v>6940</v>
      </c>
      <c r="L10" s="21">
        <f>SQRT(L11/6)</f>
        <v>734.76831463426356</v>
      </c>
      <c r="V10" s="272" t="s">
        <v>253</v>
      </c>
      <c r="W10" s="273">
        <v>542.14000502121371</v>
      </c>
      <c r="X10" s="273">
        <v>15.102171922179799</v>
      </c>
      <c r="Y10" s="273">
        <v>23.072762658885804</v>
      </c>
      <c r="Z10" s="273">
        <v>86.278148851712373</v>
      </c>
      <c r="AA10" s="273">
        <f>+SUM(W10:Z10)</f>
        <v>666.59308845399164</v>
      </c>
    </row>
    <row r="11" spans="1:27" ht="14.4" customHeight="1" x14ac:dyDescent="0.3">
      <c r="A11" s="17"/>
      <c r="B11" s="20" t="s">
        <v>48</v>
      </c>
      <c r="C11" s="20" t="s">
        <v>62</v>
      </c>
      <c r="D11" s="20" t="s">
        <v>63</v>
      </c>
      <c r="E11" s="20">
        <f>#REF!</f>
        <v>10179</v>
      </c>
      <c r="F11" s="17">
        <f>(E6-E14)^2+(E7-E14)^2+(E8-E14)^2+(E9-E14)^2+(E10-E14)^2+(E11-E14)^2+(E12-E14)^2</f>
        <v>6922118.8571428582</v>
      </c>
      <c r="G11" s="17"/>
      <c r="H11" s="20" t="s">
        <v>48</v>
      </c>
      <c r="I11" s="20" t="s">
        <v>64</v>
      </c>
      <c r="J11" s="20" t="s">
        <v>65</v>
      </c>
      <c r="K11" s="22">
        <f>#REF!</f>
        <v>8794</v>
      </c>
      <c r="L11" s="17">
        <f>(K6-K14)^2+(K7-K14)^2+(K8-K14)^2+(K9-K14)^2+(K10-K14)^2+(K11-K14)^2+(K12-K14)^2</f>
        <v>3239306.8571428573</v>
      </c>
      <c r="V11" s="274" t="s">
        <v>254</v>
      </c>
      <c r="W11" s="275">
        <f>+W10/$AA$10</f>
        <v>0.81329976924690583</v>
      </c>
      <c r="X11" s="275">
        <f t="shared" ref="X11:Z11" si="0">+X10/$AA$10</f>
        <v>2.2655758338577723E-2</v>
      </c>
      <c r="Y11" s="275">
        <f t="shared" si="0"/>
        <v>3.4612964128382634E-2</v>
      </c>
      <c r="Z11" s="275">
        <f t="shared" si="0"/>
        <v>0.12943150828613384</v>
      </c>
      <c r="AA11" s="276">
        <f>+SUM(W11:Z11)</f>
        <v>1</v>
      </c>
    </row>
    <row r="12" spans="1:27" x14ac:dyDescent="0.3">
      <c r="A12" s="17"/>
      <c r="B12" s="23" t="s">
        <v>49</v>
      </c>
      <c r="C12" s="23" t="s">
        <v>62</v>
      </c>
      <c r="D12" s="23" t="s">
        <v>63</v>
      </c>
      <c r="E12" s="23">
        <f>#REF!</f>
        <v>8303</v>
      </c>
      <c r="F12" s="21"/>
      <c r="G12" s="17"/>
      <c r="H12" s="23" t="s">
        <v>49</v>
      </c>
      <c r="I12" s="23" t="s">
        <v>64</v>
      </c>
      <c r="J12" s="23" t="s">
        <v>65</v>
      </c>
      <c r="K12" s="24">
        <f>#REF!</f>
        <v>7497</v>
      </c>
      <c r="L12" s="21"/>
      <c r="V12" s="267" t="s">
        <v>255</v>
      </c>
      <c r="W12" s="267"/>
      <c r="X12" s="267"/>
      <c r="Y12" s="267"/>
      <c r="Z12" s="267"/>
      <c r="AA12" s="267"/>
    </row>
    <row r="13" spans="1:27" x14ac:dyDescent="0.3">
      <c r="A13" s="17"/>
      <c r="B13" s="205" t="s">
        <v>45</v>
      </c>
      <c r="C13" s="205"/>
      <c r="D13" s="205"/>
      <c r="E13" s="24">
        <f>SUM(E6:E12)</f>
        <v>60332</v>
      </c>
      <c r="F13" s="17"/>
      <c r="G13" s="17"/>
      <c r="H13" s="205" t="s">
        <v>45</v>
      </c>
      <c r="I13" s="205"/>
      <c r="J13" s="205"/>
      <c r="K13" s="24">
        <f>SUM(K6:K12)</f>
        <v>56113</v>
      </c>
      <c r="L13" s="17"/>
      <c r="V13" s="265"/>
      <c r="W13" s="265"/>
      <c r="X13" s="265"/>
      <c r="Y13" s="265"/>
      <c r="Z13" s="265"/>
      <c r="AA13" s="265"/>
    </row>
    <row r="14" spans="1:27" x14ac:dyDescent="0.3">
      <c r="A14" s="17"/>
      <c r="B14" s="206" t="s">
        <v>66</v>
      </c>
      <c r="C14" s="206"/>
      <c r="D14" s="206"/>
      <c r="E14" s="25">
        <f>AVERAGE(E6:E12)</f>
        <v>8618.8571428571431</v>
      </c>
      <c r="F14" s="17"/>
      <c r="G14" s="17"/>
      <c r="H14" s="205" t="s">
        <v>66</v>
      </c>
      <c r="I14" s="205"/>
      <c r="J14" s="205"/>
      <c r="K14" s="26">
        <f>K13/7</f>
        <v>8016.1428571428569</v>
      </c>
      <c r="L14" s="17"/>
      <c r="V14" s="267" t="s">
        <v>167</v>
      </c>
      <c r="W14" s="268" t="s">
        <v>248</v>
      </c>
      <c r="X14" s="268"/>
      <c r="Y14" s="268"/>
      <c r="Z14" s="268"/>
      <c r="AA14" s="269" t="s">
        <v>130</v>
      </c>
    </row>
    <row r="15" spans="1:27" x14ac:dyDescent="0.3">
      <c r="A15" s="17"/>
      <c r="B15" s="20"/>
      <c r="C15" s="20"/>
      <c r="D15" s="20"/>
      <c r="E15" s="20"/>
      <c r="F15" s="17"/>
      <c r="G15" s="17"/>
      <c r="H15" s="17"/>
      <c r="I15" s="17"/>
      <c r="J15" s="17"/>
      <c r="K15" s="17"/>
      <c r="L15" s="17"/>
      <c r="V15" s="267"/>
      <c r="W15" s="277" t="s">
        <v>249</v>
      </c>
      <c r="X15" s="277" t="s">
        <v>250</v>
      </c>
      <c r="Y15" s="277" t="s">
        <v>251</v>
      </c>
      <c r="Z15" s="277" t="s">
        <v>252</v>
      </c>
      <c r="AA15" s="269"/>
    </row>
    <row r="16" spans="1:27" x14ac:dyDescent="0.3">
      <c r="A16" s="17"/>
      <c r="B16" s="203" t="s">
        <v>67</v>
      </c>
      <c r="C16" s="203"/>
      <c r="D16" s="203"/>
      <c r="E16" s="203"/>
      <c r="F16" s="17"/>
      <c r="G16" s="17"/>
      <c r="H16" s="203" t="str">
        <f t="shared" ref="H16:K21" si="1">B16</f>
        <v>Factores para determinar TPDA</v>
      </c>
      <c r="I16" s="203"/>
      <c r="J16" s="203"/>
      <c r="K16" s="203"/>
      <c r="L16" s="17"/>
      <c r="V16" s="272" t="s">
        <v>253</v>
      </c>
      <c r="W16" s="273">
        <v>676.58350135575756</v>
      </c>
      <c r="X16" s="273">
        <v>41.573203095353776</v>
      </c>
      <c r="Y16" s="273">
        <v>25.92211487122059</v>
      </c>
      <c r="Z16" s="273">
        <v>98.797494414840756</v>
      </c>
      <c r="AA16" s="273">
        <f>+SUM(W16:Z16)</f>
        <v>842.87631373717272</v>
      </c>
    </row>
    <row r="17" spans="1:27" x14ac:dyDescent="0.3">
      <c r="A17" s="17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  <c r="V17" s="272" t="s">
        <v>254</v>
      </c>
      <c r="W17" s="278">
        <f>W16/$AA$16</f>
        <v>0.80270793036750476</v>
      </c>
      <c r="X17" s="278">
        <f t="shared" ref="X17:AA17" si="2">X16/$AA$16</f>
        <v>4.9323017408123788E-2</v>
      </c>
      <c r="Y17" s="278">
        <f t="shared" si="2"/>
        <v>3.0754352030947771E-2</v>
      </c>
      <c r="Z17" s="278">
        <f t="shared" si="2"/>
        <v>0.1172147001934236</v>
      </c>
      <c r="AA17" s="278">
        <f t="shared" si="2"/>
        <v>1</v>
      </c>
    </row>
    <row r="18" spans="1:27" x14ac:dyDescent="0.3">
      <c r="A18" s="17"/>
      <c r="B18" s="201" t="s">
        <v>68</v>
      </c>
      <c r="C18" s="201"/>
      <c r="D18" s="17" t="s">
        <v>69</v>
      </c>
      <c r="E18" s="17">
        <v>1</v>
      </c>
      <c r="F18" s="17"/>
      <c r="G18" s="17"/>
      <c r="H18" s="200" t="str">
        <f>B18</f>
        <v>Factor horario</v>
      </c>
      <c r="I18" s="200"/>
      <c r="J18" s="17" t="str">
        <f t="shared" si="1"/>
        <v>Fh</v>
      </c>
      <c r="K18" s="17">
        <f t="shared" si="1"/>
        <v>1</v>
      </c>
      <c r="L18" s="17"/>
    </row>
    <row r="19" spans="1:27" x14ac:dyDescent="0.3">
      <c r="A19" s="17"/>
      <c r="B19" s="201" t="s">
        <v>70</v>
      </c>
      <c r="C19" s="201"/>
      <c r="D19" s="17" t="s">
        <v>71</v>
      </c>
      <c r="E19" s="27">
        <f>G43</f>
        <v>1.014115236115966</v>
      </c>
      <c r="F19" s="17"/>
      <c r="G19" s="17"/>
      <c r="H19" s="200" t="str">
        <f t="shared" si="1"/>
        <v>Factor diario</v>
      </c>
      <c r="I19" s="200"/>
      <c r="J19" s="17" t="str">
        <f t="shared" si="1"/>
        <v>Fd</v>
      </c>
      <c r="K19" s="27">
        <f>G54</f>
        <v>1.0072576945552143</v>
      </c>
      <c r="L19" s="17"/>
    </row>
    <row r="20" spans="1:27" x14ac:dyDescent="0.3">
      <c r="A20" s="17"/>
      <c r="B20" s="201" t="s">
        <v>72</v>
      </c>
      <c r="C20" s="201"/>
      <c r="D20" s="17" t="s">
        <v>73</v>
      </c>
      <c r="E20" s="27">
        <f>E74</f>
        <v>1.1071428571428572</v>
      </c>
      <c r="F20" s="17">
        <f>E14*E18*E19*E20*E21</f>
        <v>9831.8299948815056</v>
      </c>
      <c r="G20" s="17"/>
      <c r="H20" s="200" t="str">
        <f t="shared" si="1"/>
        <v>Factor Semana</v>
      </c>
      <c r="I20" s="200"/>
      <c r="J20" s="17" t="str">
        <f t="shared" si="1"/>
        <v>Fs</v>
      </c>
      <c r="K20" s="27">
        <f t="shared" si="1"/>
        <v>1.1071428571428572</v>
      </c>
      <c r="L20" s="17">
        <f>K14*K18*K19*K20*K21</f>
        <v>7848.817306707906</v>
      </c>
      <c r="N20">
        <f>(SQRT((365-7)/(365-1)))*(F10/SQRT(7))</f>
        <v>402.61106118922208</v>
      </c>
      <c r="Q20">
        <f>(SQRT((365-7)/(365-1)))*(L10/SQRT(7))</f>
        <v>275.41793735754595</v>
      </c>
    </row>
    <row r="21" spans="1:27" x14ac:dyDescent="0.3">
      <c r="A21" s="17"/>
      <c r="B21" s="201" t="s">
        <v>74</v>
      </c>
      <c r="C21" s="201"/>
      <c r="D21" s="17" t="s">
        <v>75</v>
      </c>
      <c r="E21" s="17">
        <v>1.016</v>
      </c>
      <c r="F21" s="17"/>
      <c r="G21" s="17"/>
      <c r="H21" s="200" t="str">
        <f t="shared" si="1"/>
        <v>Factor Mes</v>
      </c>
      <c r="I21" s="200"/>
      <c r="J21" s="17" t="str">
        <f t="shared" si="1"/>
        <v>Fm</v>
      </c>
      <c r="K21" s="17">
        <v>0.878</v>
      </c>
      <c r="L21" s="17"/>
    </row>
    <row r="22" spans="1:27" x14ac:dyDescent="0.3">
      <c r="A22" s="17"/>
      <c r="B22" s="17"/>
      <c r="C22" s="17"/>
      <c r="D22" s="17"/>
      <c r="E22" s="17"/>
      <c r="F22" s="17"/>
      <c r="G22" s="28"/>
      <c r="H22" s="17"/>
      <c r="I22" s="17"/>
      <c r="J22" s="17"/>
      <c r="K22" s="17"/>
      <c r="L22" s="17"/>
      <c r="N22" t="s">
        <v>76</v>
      </c>
      <c r="O22">
        <f>E14+1.64*N20</f>
        <v>9279.1392832074671</v>
      </c>
      <c r="Q22" t="s">
        <v>76</v>
      </c>
      <c r="R22">
        <f>K14+1.64*Q20</f>
        <v>8467.8282744092321</v>
      </c>
    </row>
    <row r="23" spans="1:27" x14ac:dyDescent="0.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</row>
    <row r="24" spans="1:27" x14ac:dyDescent="0.3">
      <c r="A24" s="198" t="s">
        <v>77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7"/>
    </row>
    <row r="25" spans="1:27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</row>
    <row r="26" spans="1:27" ht="15" customHeight="1" x14ac:dyDescent="0.3">
      <c r="A26" s="17"/>
      <c r="B26" s="202" t="s">
        <v>78</v>
      </c>
      <c r="C26" s="202"/>
      <c r="D26" s="202"/>
      <c r="E26" s="202"/>
      <c r="F26" s="202"/>
      <c r="G26" s="202"/>
      <c r="H26" s="17"/>
      <c r="I26" s="17"/>
      <c r="J26" s="17"/>
      <c r="K26" s="17"/>
      <c r="L26" s="17"/>
    </row>
    <row r="27" spans="1:27" x14ac:dyDescent="0.3">
      <c r="A27" s="17"/>
      <c r="B27" s="202"/>
      <c r="C27" s="202"/>
      <c r="D27" s="202"/>
      <c r="E27" s="202"/>
      <c r="F27" s="202"/>
      <c r="G27" s="202"/>
      <c r="H27" s="17"/>
      <c r="I27" s="17"/>
      <c r="J27" s="17"/>
      <c r="K27" s="17"/>
      <c r="L27" s="17"/>
    </row>
    <row r="28" spans="1:27" x14ac:dyDescent="0.3">
      <c r="A28" s="17"/>
      <c r="B28" s="202"/>
      <c r="C28" s="202"/>
      <c r="D28" s="202"/>
      <c r="E28" s="202"/>
      <c r="F28" s="202"/>
      <c r="G28" s="202"/>
      <c r="H28" s="17"/>
      <c r="I28" s="17"/>
      <c r="J28" s="17"/>
      <c r="K28" s="17"/>
      <c r="L28" s="17"/>
    </row>
    <row r="29" spans="1:27" x14ac:dyDescent="0.3">
      <c r="A29" s="17"/>
      <c r="B29" s="202"/>
      <c r="C29" s="202"/>
      <c r="D29" s="202"/>
      <c r="E29" s="202"/>
      <c r="F29" s="202"/>
      <c r="G29" s="202"/>
      <c r="H29" s="17"/>
      <c r="I29" s="17"/>
      <c r="J29" s="17"/>
      <c r="K29" s="17"/>
      <c r="L29" s="17"/>
    </row>
    <row r="30" spans="1:27" x14ac:dyDescent="0.3">
      <c r="A30" s="17"/>
      <c r="B30" s="202"/>
      <c r="C30" s="202"/>
      <c r="D30" s="202"/>
      <c r="E30" s="202"/>
      <c r="F30" s="202"/>
      <c r="G30" s="202"/>
      <c r="H30" s="17"/>
      <c r="I30" s="17"/>
      <c r="J30" s="17"/>
      <c r="K30" s="17"/>
      <c r="L30" s="17"/>
    </row>
    <row r="31" spans="1:27" x14ac:dyDescent="0.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</row>
    <row r="32" spans="1:27" x14ac:dyDescent="0.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</row>
    <row r="33" spans="1:12" x14ac:dyDescent="0.3">
      <c r="A33" s="198" t="s">
        <v>79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7"/>
    </row>
    <row r="34" spans="1:12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</row>
    <row r="35" spans="1:12" x14ac:dyDescent="0.3">
      <c r="A35" s="17"/>
      <c r="B35" s="17"/>
      <c r="C35" s="29" t="s">
        <v>80</v>
      </c>
      <c r="D35" s="17">
        <f>(E13)/7</f>
        <v>8618.8571428571431</v>
      </c>
      <c r="E35" s="30"/>
      <c r="F35" s="30"/>
      <c r="G35" s="30"/>
      <c r="H35" s="30"/>
      <c r="I35" s="29" t="s">
        <v>81</v>
      </c>
      <c r="J35" s="17">
        <f>(K13)/7</f>
        <v>8016.1428571428569</v>
      </c>
      <c r="K35" s="17"/>
      <c r="L35" s="17"/>
    </row>
    <row r="36" spans="1:12" x14ac:dyDescent="0.3">
      <c r="A36" s="17"/>
      <c r="B36" s="17"/>
      <c r="C36" s="17"/>
      <c r="D36" s="17"/>
      <c r="E36" s="30"/>
      <c r="F36" s="30"/>
      <c r="G36" s="30"/>
      <c r="H36" s="30"/>
      <c r="I36" s="30"/>
      <c r="J36" s="30"/>
      <c r="K36" s="17"/>
      <c r="L36" s="17"/>
    </row>
    <row r="37" spans="1:12" x14ac:dyDescent="0.3">
      <c r="A37" s="17"/>
      <c r="B37" s="17"/>
      <c r="C37" s="17"/>
      <c r="D37" s="17"/>
      <c r="E37" s="30"/>
      <c r="F37" s="30"/>
      <c r="G37" s="30"/>
      <c r="H37" s="30"/>
      <c r="I37" s="30"/>
      <c r="J37" s="30"/>
      <c r="K37" s="17"/>
      <c r="L37" s="17"/>
    </row>
    <row r="38" spans="1:12" x14ac:dyDescent="0.3">
      <c r="A38" s="17"/>
      <c r="B38" s="17"/>
      <c r="C38" s="17"/>
      <c r="D38" s="17"/>
      <c r="E38" s="30"/>
      <c r="F38" s="29" t="s">
        <v>82</v>
      </c>
      <c r="G38" s="21">
        <f>E13+K13</f>
        <v>116445</v>
      </c>
      <c r="H38" s="30"/>
      <c r="I38" s="30"/>
      <c r="J38" s="30"/>
      <c r="K38" s="17"/>
      <c r="L38" s="17"/>
    </row>
    <row r="39" spans="1:12" x14ac:dyDescent="0.3">
      <c r="A39" s="17"/>
      <c r="B39" s="17"/>
      <c r="C39" s="17"/>
      <c r="D39" s="17"/>
      <c r="E39" s="30"/>
      <c r="F39" s="30"/>
      <c r="G39" s="30"/>
      <c r="H39" s="30"/>
      <c r="I39" s="30"/>
      <c r="J39" s="30"/>
      <c r="K39" s="17"/>
      <c r="L39" s="17"/>
    </row>
    <row r="40" spans="1:12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</row>
    <row r="41" spans="1:12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</row>
    <row r="42" spans="1:12" x14ac:dyDescent="0.3">
      <c r="A42" s="17"/>
      <c r="B42" s="29" t="str">
        <f t="shared" ref="B42:E49" si="3">B5</f>
        <v>Dia</v>
      </c>
      <c r="C42" s="29" t="str">
        <f t="shared" si="3"/>
        <v>Ubicación</v>
      </c>
      <c r="D42" s="29" t="s">
        <v>60</v>
      </c>
      <c r="E42" s="29" t="str">
        <f t="shared" si="3"/>
        <v>Total diario</v>
      </c>
      <c r="F42" s="29" t="s">
        <v>83</v>
      </c>
      <c r="G42" s="29" t="s">
        <v>84</v>
      </c>
      <c r="H42" s="17"/>
      <c r="I42" s="17"/>
      <c r="J42" s="17"/>
      <c r="K42" s="17"/>
      <c r="L42" s="17"/>
    </row>
    <row r="43" spans="1:12" x14ac:dyDescent="0.3">
      <c r="A43" s="17"/>
      <c r="B43" s="17" t="str">
        <f t="shared" si="3"/>
        <v>Miércoles</v>
      </c>
      <c r="C43" s="17" t="str">
        <f t="shared" si="3"/>
        <v>Ecuador</v>
      </c>
      <c r="D43" s="17" t="s">
        <v>63</v>
      </c>
      <c r="E43" s="17">
        <f t="shared" si="3"/>
        <v>8222</v>
      </c>
      <c r="F43" s="31">
        <f>$D$35/E43</f>
        <v>1.0482677137992147</v>
      </c>
      <c r="G43" s="199">
        <f>AVERAGE(F43:F49)</f>
        <v>1.014115236115966</v>
      </c>
      <c r="H43" s="17"/>
      <c r="I43" s="17"/>
      <c r="J43" s="17"/>
      <c r="K43" s="17"/>
      <c r="L43" s="17"/>
    </row>
    <row r="44" spans="1:12" x14ac:dyDescent="0.3">
      <c r="A44" s="17"/>
      <c r="B44" s="17" t="str">
        <f t="shared" si="3"/>
        <v>Jueves</v>
      </c>
      <c r="C44" s="17" t="str">
        <f t="shared" si="3"/>
        <v>Ecuador</v>
      </c>
      <c r="D44" s="17" t="s">
        <v>63</v>
      </c>
      <c r="E44" s="17">
        <f t="shared" si="3"/>
        <v>8345</v>
      </c>
      <c r="F44" s="31">
        <f>$D$35/E44</f>
        <v>1.0328169134640075</v>
      </c>
      <c r="G44" s="199"/>
      <c r="H44" s="17"/>
      <c r="I44" s="17"/>
      <c r="J44" s="17"/>
      <c r="K44" s="17"/>
      <c r="L44" s="17"/>
    </row>
    <row r="45" spans="1:12" x14ac:dyDescent="0.3">
      <c r="A45" s="17"/>
      <c r="B45" s="17" t="str">
        <f t="shared" si="3"/>
        <v>Viernes</v>
      </c>
      <c r="C45" s="17" t="str">
        <f t="shared" si="3"/>
        <v>Ecuador</v>
      </c>
      <c r="D45" s="17" t="s">
        <v>63</v>
      </c>
      <c r="E45" s="17">
        <f t="shared" si="3"/>
        <v>8950</v>
      </c>
      <c r="F45" s="31">
        <f t="shared" ref="F45:F49" si="4">$D$35/E45</f>
        <v>0.96300079808459704</v>
      </c>
      <c r="G45" s="199"/>
      <c r="H45" s="17"/>
      <c r="I45" s="17"/>
      <c r="J45" s="17"/>
      <c r="K45" s="17"/>
      <c r="L45" s="17"/>
    </row>
    <row r="46" spans="1:12" x14ac:dyDescent="0.3">
      <c r="A46" s="17"/>
      <c r="B46" s="17" t="str">
        <f t="shared" si="3"/>
        <v>Sábado</v>
      </c>
      <c r="C46" s="17" t="str">
        <f t="shared" si="3"/>
        <v>Ecuador</v>
      </c>
      <c r="D46" s="17" t="s">
        <v>63</v>
      </c>
      <c r="E46" s="17">
        <f t="shared" si="3"/>
        <v>9515</v>
      </c>
      <c r="F46" s="31">
        <f t="shared" si="4"/>
        <v>0.90581788154042497</v>
      </c>
      <c r="G46" s="199"/>
      <c r="H46" s="17"/>
      <c r="I46" s="17"/>
      <c r="J46" s="17"/>
      <c r="K46" s="17"/>
      <c r="L46" s="17"/>
    </row>
    <row r="47" spans="1:12" x14ac:dyDescent="0.3">
      <c r="A47" s="17"/>
      <c r="B47" s="17" t="str">
        <f t="shared" si="3"/>
        <v>Domingo</v>
      </c>
      <c r="C47" s="17" t="str">
        <f t="shared" si="3"/>
        <v>Ecuador</v>
      </c>
      <c r="D47" s="17" t="s">
        <v>63</v>
      </c>
      <c r="E47" s="17">
        <f t="shared" si="3"/>
        <v>6818</v>
      </c>
      <c r="F47" s="31">
        <f t="shared" si="4"/>
        <v>1.2641327578259229</v>
      </c>
      <c r="G47" s="199"/>
      <c r="H47" s="17"/>
      <c r="I47" s="17"/>
      <c r="J47" s="17"/>
      <c r="K47" s="17"/>
      <c r="L47" s="17"/>
    </row>
    <row r="48" spans="1:12" x14ac:dyDescent="0.3">
      <c r="A48" s="17"/>
      <c r="B48" s="17" t="str">
        <f t="shared" si="3"/>
        <v>Lunes</v>
      </c>
      <c r="C48" s="17" t="str">
        <f t="shared" si="3"/>
        <v>Ecuador</v>
      </c>
      <c r="D48" s="17" t="s">
        <v>63</v>
      </c>
      <c r="E48" s="17">
        <f t="shared" si="3"/>
        <v>10179</v>
      </c>
      <c r="F48" s="31">
        <f t="shared" si="4"/>
        <v>0.84672926052236397</v>
      </c>
      <c r="G48" s="199"/>
      <c r="H48" s="17"/>
      <c r="I48" s="17"/>
      <c r="J48" s="17"/>
      <c r="K48" s="17"/>
      <c r="L48" s="17"/>
    </row>
    <row r="49" spans="1:12" x14ac:dyDescent="0.3">
      <c r="A49" s="17"/>
      <c r="B49" s="17" t="str">
        <f t="shared" si="3"/>
        <v>Martes</v>
      </c>
      <c r="C49" s="17" t="str">
        <f t="shared" si="3"/>
        <v>Ecuador</v>
      </c>
      <c r="D49" s="17" t="s">
        <v>63</v>
      </c>
      <c r="E49" s="17">
        <f t="shared" si="3"/>
        <v>8303</v>
      </c>
      <c r="F49" s="31">
        <f t="shared" si="4"/>
        <v>1.0380413275752309</v>
      </c>
      <c r="G49" s="199"/>
      <c r="H49" s="17"/>
      <c r="I49" s="17"/>
      <c r="J49" s="17"/>
      <c r="K49" s="17"/>
      <c r="L49" s="17"/>
    </row>
    <row r="50" spans="1:12" x14ac:dyDescent="0.3">
      <c r="A50" s="17"/>
      <c r="B50" s="200" t="str">
        <f>B13</f>
        <v>TOTAL</v>
      </c>
      <c r="C50" s="200"/>
      <c r="D50" s="200"/>
      <c r="E50" s="17">
        <f>E13</f>
        <v>60332</v>
      </c>
      <c r="F50" s="17"/>
      <c r="G50" s="17"/>
      <c r="H50" s="17"/>
      <c r="I50" s="17"/>
      <c r="J50" s="17"/>
      <c r="K50" s="17"/>
      <c r="L50" s="17"/>
    </row>
    <row r="51" spans="1:12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1:12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</row>
    <row r="53" spans="1:12" x14ac:dyDescent="0.3">
      <c r="A53" s="17"/>
      <c r="B53" s="29" t="str">
        <f t="shared" ref="B53:E60" si="5">H5</f>
        <v>Dia</v>
      </c>
      <c r="C53" s="29" t="str">
        <f t="shared" si="5"/>
        <v>Ubicación</v>
      </c>
      <c r="D53" s="29" t="s">
        <v>60</v>
      </c>
      <c r="E53" s="29" t="str">
        <f t="shared" si="5"/>
        <v>Total diario</v>
      </c>
      <c r="F53" s="29" t="s">
        <v>83</v>
      </c>
      <c r="G53" s="29" t="s">
        <v>85</v>
      </c>
      <c r="H53" s="17"/>
      <c r="I53" s="17"/>
      <c r="J53" s="17"/>
      <c r="K53" s="17"/>
      <c r="L53" s="17"/>
    </row>
    <row r="54" spans="1:12" x14ac:dyDescent="0.3">
      <c r="A54" s="17"/>
      <c r="B54" s="17" t="str">
        <f t="shared" si="5"/>
        <v>Miércoles</v>
      </c>
      <c r="C54" s="17" t="str">
        <f t="shared" si="5"/>
        <v>Colombia</v>
      </c>
      <c r="D54" s="17" t="s">
        <v>65</v>
      </c>
      <c r="E54" s="17">
        <f t="shared" si="5"/>
        <v>7676</v>
      </c>
      <c r="F54" s="32">
        <f>$J$35/E54</f>
        <v>1.0443125139581626</v>
      </c>
      <c r="G54" s="199">
        <f>AVERAGE(F54:F60)</f>
        <v>1.0072576945552143</v>
      </c>
      <c r="H54" s="17"/>
      <c r="I54" s="17"/>
      <c r="J54" s="17"/>
      <c r="K54" s="17"/>
      <c r="L54" s="17"/>
    </row>
    <row r="55" spans="1:12" x14ac:dyDescent="0.3">
      <c r="A55" s="17"/>
      <c r="B55" s="17" t="str">
        <f t="shared" si="5"/>
        <v>Jueves</v>
      </c>
      <c r="C55" s="17" t="str">
        <f t="shared" si="5"/>
        <v>Colombia</v>
      </c>
      <c r="D55" s="17" t="s">
        <v>65</v>
      </c>
      <c r="E55" s="17">
        <f t="shared" si="5"/>
        <v>8055</v>
      </c>
      <c r="F55" s="32">
        <f t="shared" ref="F55:F60" si="6">$J$35/E55</f>
        <v>0.99517602199166444</v>
      </c>
      <c r="G55" s="199"/>
      <c r="H55" s="17"/>
      <c r="I55" s="17"/>
      <c r="J55" s="17"/>
      <c r="K55" s="17"/>
      <c r="L55" s="17"/>
    </row>
    <row r="56" spans="1:12" x14ac:dyDescent="0.3">
      <c r="A56" s="17"/>
      <c r="B56" s="17" t="str">
        <f t="shared" si="5"/>
        <v>Viernes</v>
      </c>
      <c r="C56" s="17" t="str">
        <f t="shared" si="5"/>
        <v>Colombia</v>
      </c>
      <c r="D56" s="17" t="s">
        <v>65</v>
      </c>
      <c r="E56" s="17">
        <f t="shared" si="5"/>
        <v>8094</v>
      </c>
      <c r="F56" s="32">
        <f t="shared" si="6"/>
        <v>0.99038088178191952</v>
      </c>
      <c r="G56" s="199"/>
      <c r="H56" s="17"/>
      <c r="I56" s="17"/>
      <c r="J56" s="17"/>
      <c r="K56" s="17"/>
      <c r="L56" s="17"/>
    </row>
    <row r="57" spans="1:12" x14ac:dyDescent="0.3">
      <c r="A57" s="17"/>
      <c r="B57" s="17" t="str">
        <f t="shared" si="5"/>
        <v>Sábado</v>
      </c>
      <c r="C57" s="17" t="str">
        <f t="shared" si="5"/>
        <v>Colombia</v>
      </c>
      <c r="D57" s="17" t="s">
        <v>65</v>
      </c>
      <c r="E57" s="17">
        <f t="shared" si="5"/>
        <v>9057</v>
      </c>
      <c r="F57" s="32">
        <f t="shared" si="6"/>
        <v>0.88507705168851236</v>
      </c>
      <c r="G57" s="199"/>
      <c r="H57" s="17"/>
      <c r="I57" s="17"/>
      <c r="J57" s="17"/>
      <c r="K57" s="17"/>
      <c r="L57" s="17"/>
    </row>
    <row r="58" spans="1:12" x14ac:dyDescent="0.3">
      <c r="A58" s="17"/>
      <c r="B58" s="17" t="str">
        <f t="shared" si="5"/>
        <v>Domingo</v>
      </c>
      <c r="C58" s="17" t="str">
        <f t="shared" si="5"/>
        <v>Colombia</v>
      </c>
      <c r="D58" s="17" t="s">
        <v>65</v>
      </c>
      <c r="E58" s="17">
        <f t="shared" si="5"/>
        <v>6940</v>
      </c>
      <c r="F58" s="32">
        <f t="shared" si="6"/>
        <v>1.1550638122684231</v>
      </c>
      <c r="G58" s="199"/>
      <c r="H58" s="17"/>
      <c r="I58" s="17"/>
      <c r="J58" s="17"/>
      <c r="K58" s="17"/>
      <c r="L58" s="17"/>
    </row>
    <row r="59" spans="1:12" x14ac:dyDescent="0.3">
      <c r="A59" s="17"/>
      <c r="B59" s="17" t="str">
        <f t="shared" si="5"/>
        <v>Lunes</v>
      </c>
      <c r="C59" s="17" t="str">
        <f t="shared" si="5"/>
        <v>Colombia</v>
      </c>
      <c r="D59" s="17" t="s">
        <v>65</v>
      </c>
      <c r="E59" s="17">
        <f t="shared" si="5"/>
        <v>8794</v>
      </c>
      <c r="F59" s="32">
        <f t="shared" si="6"/>
        <v>0.91154683388024305</v>
      </c>
      <c r="G59" s="199"/>
      <c r="H59" s="17"/>
      <c r="I59" s="17"/>
      <c r="J59" s="17"/>
      <c r="K59" s="17"/>
      <c r="L59" s="17"/>
    </row>
    <row r="60" spans="1:12" x14ac:dyDescent="0.3">
      <c r="A60" s="17"/>
      <c r="B60" s="17" t="str">
        <f t="shared" si="5"/>
        <v>Martes</v>
      </c>
      <c r="C60" s="17" t="str">
        <f t="shared" si="5"/>
        <v>Colombia</v>
      </c>
      <c r="D60" s="17" t="s">
        <v>65</v>
      </c>
      <c r="E60" s="17">
        <f t="shared" si="5"/>
        <v>7497</v>
      </c>
      <c r="F60" s="32">
        <f t="shared" si="6"/>
        <v>1.0692467463175745</v>
      </c>
      <c r="G60" s="199"/>
      <c r="H60" s="17"/>
      <c r="I60" s="17"/>
      <c r="J60" s="17"/>
      <c r="K60" s="17"/>
      <c r="L60" s="17"/>
    </row>
    <row r="61" spans="1:12" x14ac:dyDescent="0.3">
      <c r="A61" s="17"/>
      <c r="B61" s="200" t="str">
        <f>H13</f>
        <v>TOTAL</v>
      </c>
      <c r="C61" s="200"/>
      <c r="D61" s="200"/>
      <c r="E61" s="17">
        <f>K13</f>
        <v>56113</v>
      </c>
      <c r="F61" s="17"/>
      <c r="G61" s="17"/>
      <c r="H61" s="17"/>
      <c r="I61" s="17"/>
      <c r="J61" s="17"/>
      <c r="K61" s="17"/>
      <c r="L61" s="17"/>
    </row>
    <row r="62" spans="1:12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</row>
    <row r="63" spans="1:12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</row>
    <row r="65" spans="1:12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</row>
    <row r="66" spans="1:12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</row>
    <row r="67" spans="1:12" x14ac:dyDescent="0.3">
      <c r="A67" s="198" t="s">
        <v>86</v>
      </c>
      <c r="B67" s="198"/>
      <c r="C67" s="198"/>
      <c r="D67" s="198"/>
      <c r="E67" s="198"/>
      <c r="F67" s="198"/>
      <c r="G67" s="198"/>
      <c r="H67" s="198"/>
      <c r="I67" s="198"/>
      <c r="J67" s="198"/>
      <c r="K67" s="198"/>
      <c r="L67" s="17"/>
    </row>
    <row r="68" spans="1:12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</row>
    <row r="69" spans="1:12" x14ac:dyDescent="0.3">
      <c r="A69" s="17"/>
      <c r="B69" s="17"/>
      <c r="C69" s="17"/>
      <c r="D69" s="17"/>
      <c r="E69" s="30"/>
      <c r="F69" s="30"/>
      <c r="G69" s="30"/>
      <c r="H69" s="30"/>
      <c r="I69" s="30"/>
      <c r="J69" s="30"/>
      <c r="K69" s="17"/>
      <c r="L69" s="17"/>
    </row>
    <row r="70" spans="1:12" x14ac:dyDescent="0.3">
      <c r="A70" s="17"/>
      <c r="B70" s="17"/>
      <c r="C70" s="17"/>
      <c r="D70" s="17"/>
      <c r="E70" s="30"/>
      <c r="F70" s="30"/>
      <c r="G70" s="30"/>
      <c r="H70" s="30"/>
      <c r="I70" s="30"/>
      <c r="J70" s="30"/>
      <c r="K70" s="17"/>
      <c r="L70" s="17"/>
    </row>
    <row r="71" spans="1:12" ht="31.2" x14ac:dyDescent="0.3">
      <c r="A71" s="17"/>
      <c r="B71" s="33" t="s">
        <v>87</v>
      </c>
      <c r="C71" s="33" t="s">
        <v>88</v>
      </c>
      <c r="D71" s="33" t="s">
        <v>89</v>
      </c>
      <c r="E71" s="33" t="s">
        <v>90</v>
      </c>
      <c r="F71" s="20"/>
      <c r="G71" s="33" t="s">
        <v>87</v>
      </c>
      <c r="H71" s="33" t="s">
        <v>88</v>
      </c>
      <c r="I71" s="33" t="s">
        <v>89</v>
      </c>
      <c r="J71" s="33" t="s">
        <v>90</v>
      </c>
      <c r="K71" s="17"/>
      <c r="L71" s="17"/>
    </row>
    <row r="72" spans="1:12" ht="15.6" x14ac:dyDescent="0.3">
      <c r="A72" s="17"/>
      <c r="B72" s="30" t="s">
        <v>91</v>
      </c>
      <c r="C72" s="30">
        <v>31</v>
      </c>
      <c r="D72" s="34">
        <f>C72*4/28</f>
        <v>4.4285714285714288</v>
      </c>
      <c r="E72" s="34">
        <f>C72/(4*7)</f>
        <v>1.1071428571428572</v>
      </c>
      <c r="F72" s="20"/>
      <c r="G72" s="35" t="s">
        <v>91</v>
      </c>
      <c r="H72" s="35">
        <v>31</v>
      </c>
      <c r="I72" s="36">
        <f>H72/7</f>
        <v>4.4285714285714288</v>
      </c>
      <c r="J72" s="37">
        <v>1.107</v>
      </c>
      <c r="K72" s="17"/>
      <c r="L72" s="17"/>
    </row>
    <row r="73" spans="1:12" ht="15.6" x14ac:dyDescent="0.3">
      <c r="A73" s="17"/>
      <c r="B73" s="30" t="s">
        <v>92</v>
      </c>
      <c r="C73" s="30">
        <v>28</v>
      </c>
      <c r="D73" s="34">
        <f t="shared" ref="D73:D83" si="7">C73*4/28</f>
        <v>4</v>
      </c>
      <c r="E73" s="34">
        <f t="shared" ref="E73:E83" si="8">C73/(4*7)</f>
        <v>1</v>
      </c>
      <c r="F73" s="20"/>
      <c r="G73" s="35" t="s">
        <v>92</v>
      </c>
      <c r="H73" s="35">
        <v>28</v>
      </c>
      <c r="I73" s="36">
        <f t="shared" ref="I73:I83" si="9">H73/7</f>
        <v>4</v>
      </c>
      <c r="J73" s="36">
        <v>1</v>
      </c>
      <c r="K73" s="17"/>
      <c r="L73" s="17"/>
    </row>
    <row r="74" spans="1:12" ht="15.6" x14ac:dyDescent="0.3">
      <c r="A74" s="17"/>
      <c r="B74" s="30" t="s">
        <v>93</v>
      </c>
      <c r="C74" s="20">
        <v>31</v>
      </c>
      <c r="D74" s="34">
        <f t="shared" si="7"/>
        <v>4.4285714285714288</v>
      </c>
      <c r="E74" s="34">
        <f>C74/(4*7)</f>
        <v>1.1071428571428572</v>
      </c>
      <c r="F74" s="20"/>
      <c r="G74" s="35" t="s">
        <v>93</v>
      </c>
      <c r="H74" s="37">
        <v>31</v>
      </c>
      <c r="I74" s="36">
        <f t="shared" si="9"/>
        <v>4.4285714285714288</v>
      </c>
      <c r="J74" s="37">
        <v>1.107</v>
      </c>
      <c r="K74" s="17"/>
      <c r="L74" s="17"/>
    </row>
    <row r="75" spans="1:12" ht="15.6" x14ac:dyDescent="0.3">
      <c r="A75" s="17"/>
      <c r="B75" s="30" t="s">
        <v>94</v>
      </c>
      <c r="C75" s="30">
        <v>30</v>
      </c>
      <c r="D75" s="34">
        <f t="shared" si="7"/>
        <v>4.2857142857142856</v>
      </c>
      <c r="E75" s="34">
        <f t="shared" si="8"/>
        <v>1.0714285714285714</v>
      </c>
      <c r="F75" s="20"/>
      <c r="G75" s="35" t="s">
        <v>94</v>
      </c>
      <c r="H75" s="35">
        <v>30</v>
      </c>
      <c r="I75" s="36">
        <f t="shared" si="9"/>
        <v>4.2857142857142856</v>
      </c>
      <c r="J75" s="37">
        <v>1.071</v>
      </c>
      <c r="K75" s="17"/>
      <c r="L75" s="17"/>
    </row>
    <row r="76" spans="1:12" ht="15.6" x14ac:dyDescent="0.3">
      <c r="A76" s="17"/>
      <c r="B76" s="30" t="s">
        <v>95</v>
      </c>
      <c r="C76" s="30">
        <v>31</v>
      </c>
      <c r="D76" s="34">
        <f t="shared" si="7"/>
        <v>4.4285714285714288</v>
      </c>
      <c r="E76" s="34">
        <f t="shared" si="8"/>
        <v>1.1071428571428572</v>
      </c>
      <c r="F76" s="20"/>
      <c r="G76" s="35" t="s">
        <v>95</v>
      </c>
      <c r="H76" s="35">
        <v>31</v>
      </c>
      <c r="I76" s="36">
        <f t="shared" si="9"/>
        <v>4.4285714285714288</v>
      </c>
      <c r="J76" s="37">
        <v>1.107</v>
      </c>
      <c r="K76" s="17"/>
      <c r="L76" s="17"/>
    </row>
    <row r="77" spans="1:12" ht="15.6" x14ac:dyDescent="0.3">
      <c r="A77" s="17"/>
      <c r="B77" s="30" t="s">
        <v>96</v>
      </c>
      <c r="C77" s="30">
        <v>30</v>
      </c>
      <c r="D77" s="34">
        <f t="shared" si="7"/>
        <v>4.2857142857142856</v>
      </c>
      <c r="E77" s="34">
        <f t="shared" si="8"/>
        <v>1.0714285714285714</v>
      </c>
      <c r="F77" s="20"/>
      <c r="G77" s="35" t="s">
        <v>96</v>
      </c>
      <c r="H77" s="35">
        <v>30</v>
      </c>
      <c r="I77" s="36">
        <f t="shared" si="9"/>
        <v>4.2857142857142856</v>
      </c>
      <c r="J77" s="37">
        <v>1.071</v>
      </c>
      <c r="K77" s="17"/>
      <c r="L77" s="17"/>
    </row>
    <row r="78" spans="1:12" ht="15.6" x14ac:dyDescent="0.3">
      <c r="A78" s="17"/>
      <c r="B78" s="30" t="s">
        <v>97</v>
      </c>
      <c r="C78" s="30">
        <v>31</v>
      </c>
      <c r="D78" s="34">
        <f t="shared" si="7"/>
        <v>4.4285714285714288</v>
      </c>
      <c r="E78" s="34">
        <f t="shared" si="8"/>
        <v>1.1071428571428572</v>
      </c>
      <c r="F78" s="20"/>
      <c r="G78" s="35" t="s">
        <v>97</v>
      </c>
      <c r="H78" s="35">
        <v>31</v>
      </c>
      <c r="I78" s="36">
        <f t="shared" si="9"/>
        <v>4.4285714285714288</v>
      </c>
      <c r="J78" s="37">
        <v>1.107</v>
      </c>
      <c r="K78" s="17"/>
      <c r="L78" s="17"/>
    </row>
    <row r="79" spans="1:12" ht="15.6" x14ac:dyDescent="0.3">
      <c r="A79" s="17"/>
      <c r="B79" s="30" t="s">
        <v>98</v>
      </c>
      <c r="C79" s="30">
        <v>31</v>
      </c>
      <c r="D79" s="34">
        <f t="shared" si="7"/>
        <v>4.4285714285714288</v>
      </c>
      <c r="E79" s="34">
        <f t="shared" si="8"/>
        <v>1.1071428571428572</v>
      </c>
      <c r="F79" s="20"/>
      <c r="G79" s="35" t="s">
        <v>98</v>
      </c>
      <c r="H79" s="35">
        <v>31</v>
      </c>
      <c r="I79" s="36">
        <f t="shared" si="9"/>
        <v>4.4285714285714288</v>
      </c>
      <c r="J79" s="37">
        <v>1.107</v>
      </c>
      <c r="K79" s="17"/>
      <c r="L79" s="17"/>
    </row>
    <row r="80" spans="1:12" ht="15.6" x14ac:dyDescent="0.3">
      <c r="A80" s="17"/>
      <c r="B80" s="30" t="s">
        <v>99</v>
      </c>
      <c r="C80" s="30">
        <v>30</v>
      </c>
      <c r="D80" s="34">
        <f t="shared" si="7"/>
        <v>4.2857142857142856</v>
      </c>
      <c r="E80" s="34">
        <f t="shared" si="8"/>
        <v>1.0714285714285714</v>
      </c>
      <c r="F80" s="20"/>
      <c r="G80" s="35" t="s">
        <v>99</v>
      </c>
      <c r="H80" s="35">
        <v>30</v>
      </c>
      <c r="I80" s="36">
        <f t="shared" si="9"/>
        <v>4.2857142857142856</v>
      </c>
      <c r="J80" s="37">
        <v>1.071</v>
      </c>
      <c r="K80" s="17"/>
      <c r="L80" s="17"/>
    </row>
    <row r="81" spans="1:12" ht="15.6" x14ac:dyDescent="0.3">
      <c r="A81" s="17"/>
      <c r="B81" s="30" t="s">
        <v>100</v>
      </c>
      <c r="C81" s="30">
        <v>31</v>
      </c>
      <c r="D81" s="34">
        <f t="shared" si="7"/>
        <v>4.4285714285714288</v>
      </c>
      <c r="E81" s="34">
        <f t="shared" si="8"/>
        <v>1.1071428571428572</v>
      </c>
      <c r="F81" s="20"/>
      <c r="G81" s="35" t="s">
        <v>100</v>
      </c>
      <c r="H81" s="35">
        <v>31</v>
      </c>
      <c r="I81" s="36">
        <f t="shared" si="9"/>
        <v>4.4285714285714288</v>
      </c>
      <c r="J81" s="37">
        <v>1.107</v>
      </c>
      <c r="K81" s="17"/>
      <c r="L81" s="17"/>
    </row>
    <row r="82" spans="1:12" ht="15.6" x14ac:dyDescent="0.3">
      <c r="A82" s="17"/>
      <c r="B82" s="30" t="s">
        <v>101</v>
      </c>
      <c r="C82" s="30">
        <v>30</v>
      </c>
      <c r="D82" s="34">
        <f t="shared" si="7"/>
        <v>4.2857142857142856</v>
      </c>
      <c r="E82" s="34">
        <f t="shared" si="8"/>
        <v>1.0714285714285714</v>
      </c>
      <c r="F82" s="20"/>
      <c r="G82" s="35" t="s">
        <v>101</v>
      </c>
      <c r="H82" s="35">
        <v>30</v>
      </c>
      <c r="I82" s="36">
        <f t="shared" si="9"/>
        <v>4.2857142857142856</v>
      </c>
      <c r="J82" s="37">
        <v>1.071</v>
      </c>
      <c r="K82" s="17"/>
      <c r="L82" s="17"/>
    </row>
    <row r="83" spans="1:12" ht="15.6" x14ac:dyDescent="0.3">
      <c r="A83" s="17"/>
      <c r="B83" s="30" t="s">
        <v>102</v>
      </c>
      <c r="C83" s="30">
        <v>31</v>
      </c>
      <c r="D83" s="34">
        <f t="shared" si="7"/>
        <v>4.4285714285714288</v>
      </c>
      <c r="E83" s="34">
        <f t="shared" si="8"/>
        <v>1.1071428571428572</v>
      </c>
      <c r="F83" s="20"/>
      <c r="G83" s="35" t="s">
        <v>102</v>
      </c>
      <c r="H83" s="35">
        <v>31</v>
      </c>
      <c r="I83" s="36">
        <f t="shared" si="9"/>
        <v>4.4285714285714288</v>
      </c>
      <c r="J83" s="37">
        <v>1.107</v>
      </c>
      <c r="K83" s="17"/>
      <c r="L83" s="17"/>
    </row>
    <row r="84" spans="1:12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</row>
    <row r="85" spans="1:12" x14ac:dyDescent="0.3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</row>
    <row r="86" spans="1:12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</row>
    <row r="87" spans="1:12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</row>
    <row r="88" spans="1:12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</row>
    <row r="89" spans="1:12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</row>
    <row r="90" spans="1:12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</row>
  </sheetData>
  <mergeCells count="34">
    <mergeCell ref="V12:AA13"/>
    <mergeCell ref="V14:V15"/>
    <mergeCell ref="W14:Z14"/>
    <mergeCell ref="AA14:AA15"/>
    <mergeCell ref="B14:D14"/>
    <mergeCell ref="H14:J14"/>
    <mergeCell ref="V5:AA5"/>
    <mergeCell ref="V6:AA7"/>
    <mergeCell ref="V8:V9"/>
    <mergeCell ref="W8:Z8"/>
    <mergeCell ref="AA8:AA9"/>
    <mergeCell ref="A2:K2"/>
    <mergeCell ref="B4:E4"/>
    <mergeCell ref="H4:K4"/>
    <mergeCell ref="B13:D13"/>
    <mergeCell ref="H13:J13"/>
    <mergeCell ref="B16:E16"/>
    <mergeCell ref="H16:K16"/>
    <mergeCell ref="B18:C18"/>
    <mergeCell ref="H18:I18"/>
    <mergeCell ref="B19:C19"/>
    <mergeCell ref="H19:I19"/>
    <mergeCell ref="A67:K67"/>
    <mergeCell ref="B20:C20"/>
    <mergeCell ref="H20:I20"/>
    <mergeCell ref="B21:C21"/>
    <mergeCell ref="H21:I21"/>
    <mergeCell ref="A24:K24"/>
    <mergeCell ref="B26:G30"/>
    <mergeCell ref="A33:K33"/>
    <mergeCell ref="G43:G49"/>
    <mergeCell ref="B50:D50"/>
    <mergeCell ref="G54:G60"/>
    <mergeCell ref="B61:D6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5AFE-C160-4F0D-ACB1-817C68340D59}">
  <dimension ref="F3:L23"/>
  <sheetViews>
    <sheetView showGridLines="0" topLeftCell="F1" zoomScaleNormal="100" workbookViewId="0">
      <selection sqref="A1:M2"/>
    </sheetView>
  </sheetViews>
  <sheetFormatPr baseColWidth="10" defaultColWidth="8.88671875" defaultRowHeight="14.4" x14ac:dyDescent="0.3"/>
  <cols>
    <col min="3" max="3" width="14.6640625" customWidth="1"/>
    <col min="4" max="4" width="15" customWidth="1"/>
    <col min="6" max="11" width="15.77734375" customWidth="1"/>
  </cols>
  <sheetData>
    <row r="3" spans="6:12" x14ac:dyDescent="0.3">
      <c r="F3" s="211" t="s">
        <v>58</v>
      </c>
      <c r="G3" s="211" t="s">
        <v>59</v>
      </c>
      <c r="H3" s="211" t="s">
        <v>60</v>
      </c>
      <c r="I3" s="211" t="s">
        <v>61</v>
      </c>
      <c r="J3" s="211" t="s">
        <v>71</v>
      </c>
      <c r="K3" s="211" t="s">
        <v>103</v>
      </c>
    </row>
    <row r="4" spans="6:12" x14ac:dyDescent="0.3">
      <c r="F4" s="211"/>
      <c r="G4" s="212"/>
      <c r="H4" s="212"/>
      <c r="I4" s="212"/>
      <c r="J4" s="212"/>
      <c r="K4" s="212"/>
    </row>
    <row r="5" spans="6:12" x14ac:dyDescent="0.3">
      <c r="F5" s="38" t="s">
        <v>50</v>
      </c>
      <c r="G5" s="39" t="s">
        <v>62</v>
      </c>
      <c r="H5" s="39" t="s">
        <v>63</v>
      </c>
      <c r="I5" s="40">
        <v>8222</v>
      </c>
      <c r="J5" s="40">
        <v>1.05</v>
      </c>
      <c r="K5" s="208">
        <f>AVERAGE(J5:J11)</f>
        <v>1.0142857142857142</v>
      </c>
    </row>
    <row r="6" spans="6:12" x14ac:dyDescent="0.3">
      <c r="F6" s="38" t="s">
        <v>51</v>
      </c>
      <c r="G6" s="39" t="s">
        <v>62</v>
      </c>
      <c r="H6" s="39" t="s">
        <v>63</v>
      </c>
      <c r="I6" s="40">
        <v>8345</v>
      </c>
      <c r="J6" s="40">
        <v>1.03</v>
      </c>
      <c r="K6" s="208"/>
    </row>
    <row r="7" spans="6:12" x14ac:dyDescent="0.3">
      <c r="F7" s="38" t="s">
        <v>52</v>
      </c>
      <c r="G7" s="39" t="s">
        <v>62</v>
      </c>
      <c r="H7" s="39" t="s">
        <v>63</v>
      </c>
      <c r="I7" s="40">
        <v>8950</v>
      </c>
      <c r="J7" s="40">
        <v>0.96</v>
      </c>
      <c r="K7" s="208"/>
    </row>
    <row r="8" spans="6:12" x14ac:dyDescent="0.3">
      <c r="F8" s="38" t="s">
        <v>53</v>
      </c>
      <c r="G8" s="39" t="s">
        <v>62</v>
      </c>
      <c r="H8" s="39" t="s">
        <v>63</v>
      </c>
      <c r="I8" s="40">
        <v>9515</v>
      </c>
      <c r="J8" s="40">
        <v>0.91</v>
      </c>
      <c r="K8" s="208"/>
    </row>
    <row r="9" spans="6:12" x14ac:dyDescent="0.3">
      <c r="F9" s="38" t="s">
        <v>54</v>
      </c>
      <c r="G9" s="39" t="s">
        <v>62</v>
      </c>
      <c r="H9" s="39" t="s">
        <v>63</v>
      </c>
      <c r="I9" s="40">
        <v>6818</v>
      </c>
      <c r="J9" s="40">
        <v>1.26</v>
      </c>
      <c r="K9" s="208"/>
    </row>
    <row r="10" spans="6:12" x14ac:dyDescent="0.3">
      <c r="F10" s="38" t="s">
        <v>48</v>
      </c>
      <c r="G10" s="39" t="s">
        <v>62</v>
      </c>
      <c r="H10" s="39" t="s">
        <v>63</v>
      </c>
      <c r="I10" s="40">
        <v>10179</v>
      </c>
      <c r="J10" s="40">
        <v>0.85</v>
      </c>
      <c r="K10" s="208"/>
    </row>
    <row r="11" spans="6:12" x14ac:dyDescent="0.3">
      <c r="F11" s="41" t="s">
        <v>49</v>
      </c>
      <c r="G11" s="42" t="s">
        <v>62</v>
      </c>
      <c r="H11" s="42" t="s">
        <v>63</v>
      </c>
      <c r="I11" s="43">
        <v>8303</v>
      </c>
      <c r="J11" s="43">
        <v>1.04</v>
      </c>
      <c r="K11" s="209"/>
    </row>
    <row r="12" spans="6:12" x14ac:dyDescent="0.3">
      <c r="F12" s="210" t="s">
        <v>45</v>
      </c>
      <c r="G12" s="210"/>
      <c r="H12" s="210"/>
      <c r="I12" s="44">
        <v>60332</v>
      </c>
      <c r="J12" s="45"/>
      <c r="K12" s="45"/>
    </row>
    <row r="13" spans="6:12" x14ac:dyDescent="0.3">
      <c r="F13" s="191"/>
      <c r="G13" s="191"/>
      <c r="H13" s="191"/>
      <c r="I13" s="191"/>
      <c r="J13" s="191"/>
      <c r="K13" s="191"/>
    </row>
    <row r="14" spans="6:12" x14ac:dyDescent="0.3">
      <c r="F14" s="211" t="s">
        <v>58</v>
      </c>
      <c r="G14" s="211" t="s">
        <v>59</v>
      </c>
      <c r="H14" s="211" t="s">
        <v>104</v>
      </c>
      <c r="I14" s="211" t="s">
        <v>61</v>
      </c>
      <c r="J14" s="211" t="s">
        <v>71</v>
      </c>
      <c r="K14" s="211" t="s">
        <v>103</v>
      </c>
    </row>
    <row r="15" spans="6:12" x14ac:dyDescent="0.3">
      <c r="F15" s="212"/>
      <c r="G15" s="212"/>
      <c r="H15" s="212"/>
      <c r="I15" s="212"/>
      <c r="J15" s="212"/>
      <c r="K15" s="212"/>
    </row>
    <row r="16" spans="6:12" x14ac:dyDescent="0.3">
      <c r="F16" s="46" t="s">
        <v>50</v>
      </c>
      <c r="G16" s="47" t="s">
        <v>64</v>
      </c>
      <c r="H16" s="47" t="s">
        <v>65</v>
      </c>
      <c r="I16" s="48">
        <v>7676</v>
      </c>
      <c r="J16" s="49">
        <v>1.0443125139581626</v>
      </c>
      <c r="K16" s="207">
        <f>AVERAGE(J16:J22)</f>
        <v>1.0072576945552143</v>
      </c>
      <c r="L16" s="50"/>
    </row>
    <row r="17" spans="6:12" x14ac:dyDescent="0.3">
      <c r="F17" s="38" t="s">
        <v>51</v>
      </c>
      <c r="G17" s="39" t="s">
        <v>64</v>
      </c>
      <c r="H17" s="39" t="s">
        <v>65</v>
      </c>
      <c r="I17" s="40">
        <v>8055</v>
      </c>
      <c r="J17" s="51">
        <v>0.99517602199166444</v>
      </c>
      <c r="K17" s="208"/>
      <c r="L17" s="50"/>
    </row>
    <row r="18" spans="6:12" x14ac:dyDescent="0.3">
      <c r="F18" s="38" t="s">
        <v>52</v>
      </c>
      <c r="G18" s="39" t="s">
        <v>64</v>
      </c>
      <c r="H18" s="39" t="s">
        <v>65</v>
      </c>
      <c r="I18" s="40">
        <v>8094</v>
      </c>
      <c r="J18" s="51">
        <v>0.99038088178191952</v>
      </c>
      <c r="K18" s="208"/>
      <c r="L18" s="50"/>
    </row>
    <row r="19" spans="6:12" x14ac:dyDescent="0.3">
      <c r="F19" s="38" t="s">
        <v>53</v>
      </c>
      <c r="G19" s="39" t="s">
        <v>64</v>
      </c>
      <c r="H19" s="39" t="s">
        <v>65</v>
      </c>
      <c r="I19" s="40">
        <v>9057</v>
      </c>
      <c r="J19" s="51">
        <v>0.88507705168851236</v>
      </c>
      <c r="K19" s="208"/>
      <c r="L19" s="50"/>
    </row>
    <row r="20" spans="6:12" x14ac:dyDescent="0.3">
      <c r="F20" s="38" t="s">
        <v>54</v>
      </c>
      <c r="G20" s="39" t="s">
        <v>64</v>
      </c>
      <c r="H20" s="39" t="s">
        <v>65</v>
      </c>
      <c r="I20" s="40">
        <v>6940</v>
      </c>
      <c r="J20" s="51">
        <v>1.1550638122684231</v>
      </c>
      <c r="K20" s="208"/>
      <c r="L20" s="50"/>
    </row>
    <row r="21" spans="6:12" x14ac:dyDescent="0.3">
      <c r="F21" s="38" t="s">
        <v>48</v>
      </c>
      <c r="G21" s="39" t="s">
        <v>64</v>
      </c>
      <c r="H21" s="39" t="s">
        <v>65</v>
      </c>
      <c r="I21" s="40">
        <v>8794</v>
      </c>
      <c r="J21" s="51">
        <v>0.91154683388024305</v>
      </c>
      <c r="K21" s="208"/>
      <c r="L21" s="50"/>
    </row>
    <row r="22" spans="6:12" x14ac:dyDescent="0.3">
      <c r="F22" s="41" t="s">
        <v>49</v>
      </c>
      <c r="G22" s="42" t="s">
        <v>64</v>
      </c>
      <c r="H22" s="42" t="s">
        <v>65</v>
      </c>
      <c r="I22" s="43">
        <v>7497</v>
      </c>
      <c r="J22" s="52">
        <v>1.0692467463175745</v>
      </c>
      <c r="K22" s="209"/>
      <c r="L22" s="50"/>
    </row>
    <row r="23" spans="6:12" x14ac:dyDescent="0.3">
      <c r="F23" s="210" t="s">
        <v>45</v>
      </c>
      <c r="G23" s="210"/>
      <c r="H23" s="210"/>
      <c r="I23" s="44">
        <v>56113</v>
      </c>
      <c r="J23" s="45"/>
      <c r="K23" s="45"/>
    </row>
  </sheetData>
  <mergeCells count="17">
    <mergeCell ref="K3:K4"/>
    <mergeCell ref="F3:F4"/>
    <mergeCell ref="G3:G4"/>
    <mergeCell ref="H3:H4"/>
    <mergeCell ref="I3:I4"/>
    <mergeCell ref="J3:J4"/>
    <mergeCell ref="K16:K22"/>
    <mergeCell ref="F23:H23"/>
    <mergeCell ref="K5:K11"/>
    <mergeCell ref="F12:H12"/>
    <mergeCell ref="F13:K13"/>
    <mergeCell ref="F14:F15"/>
    <mergeCell ref="G14:G15"/>
    <mergeCell ref="H14:H15"/>
    <mergeCell ref="I14:I15"/>
    <mergeCell ref="J14:J15"/>
    <mergeCell ref="K14:K15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3AF3C-FF0A-4EDE-9FF7-FF79BE707BDD}">
  <dimension ref="B3:AZ59"/>
  <sheetViews>
    <sheetView showGridLines="0" zoomScale="60" zoomScaleNormal="60" workbookViewId="0"/>
  </sheetViews>
  <sheetFormatPr baseColWidth="10" defaultColWidth="11.5546875" defaultRowHeight="14.4" x14ac:dyDescent="0.3"/>
  <cols>
    <col min="1" max="1" width="8.33203125" customWidth="1"/>
    <col min="2" max="2" width="16.33203125" bestFit="1" customWidth="1"/>
    <col min="3" max="3" width="19.21875" style="53" customWidth="1"/>
    <col min="4" max="4" width="12.109375" customWidth="1"/>
    <col min="5" max="5" width="14.44140625" bestFit="1" customWidth="1"/>
    <col min="6" max="6" width="13.44140625" bestFit="1" customWidth="1"/>
    <col min="7" max="7" width="14.88671875" bestFit="1" customWidth="1"/>
    <col min="8" max="8" width="12.44140625" customWidth="1"/>
    <col min="9" max="9" width="14.109375" bestFit="1" customWidth="1"/>
    <col min="10" max="10" width="13.109375" customWidth="1"/>
    <col min="11" max="11" width="13" customWidth="1"/>
    <col min="12" max="13" width="12.5546875" customWidth="1"/>
    <col min="14" max="14" width="14.6640625" customWidth="1"/>
    <col min="15" max="15" width="12.5546875" hidden="1" customWidth="1"/>
    <col min="16" max="16" width="12.5546875" customWidth="1"/>
    <col min="17" max="17" width="13.5546875" customWidth="1"/>
    <col min="18" max="18" width="13.33203125" customWidth="1"/>
    <col min="19" max="19" width="15.6640625" customWidth="1"/>
    <col min="20" max="20" width="12.6640625" customWidth="1"/>
    <col min="21" max="21" width="12.6640625" hidden="1" customWidth="1"/>
    <col min="22" max="22" width="15" bestFit="1" customWidth="1"/>
    <col min="23" max="23" width="15.33203125" bestFit="1" customWidth="1"/>
    <col min="26" max="26" width="25.44140625" customWidth="1"/>
    <col min="27" max="28" width="14.88671875" customWidth="1"/>
    <col min="29" max="29" width="16" customWidth="1"/>
    <col min="30" max="30" width="13.5546875" customWidth="1"/>
    <col min="33" max="33" width="15.109375" customWidth="1"/>
    <col min="34" max="38" width="15.77734375" customWidth="1"/>
    <col min="43" max="43" width="13.77734375" customWidth="1"/>
  </cols>
  <sheetData>
    <row r="3" spans="2:43" x14ac:dyDescent="0.3">
      <c r="B3" s="198" t="s">
        <v>105</v>
      </c>
      <c r="C3" s="198"/>
      <c r="D3" s="198"/>
      <c r="E3" s="198"/>
      <c r="F3" s="198"/>
      <c r="G3" s="198"/>
      <c r="H3" s="198"/>
      <c r="I3" s="198"/>
    </row>
    <row r="4" spans="2:43" x14ac:dyDescent="0.3">
      <c r="B4" s="227" t="s">
        <v>106</v>
      </c>
      <c r="C4" s="227"/>
      <c r="D4" s="227"/>
      <c r="E4" s="227"/>
      <c r="F4" s="227"/>
      <c r="G4" s="227"/>
      <c r="H4" s="17"/>
      <c r="I4" s="17"/>
    </row>
    <row r="5" spans="2:43" x14ac:dyDescent="0.3">
      <c r="B5" s="17"/>
      <c r="C5" s="20"/>
      <c r="D5" s="17"/>
      <c r="E5" s="17"/>
      <c r="F5" s="17"/>
      <c r="G5" s="17"/>
      <c r="H5" s="17"/>
      <c r="I5" s="17"/>
    </row>
    <row r="6" spans="2:43" x14ac:dyDescent="0.3">
      <c r="B6" s="17"/>
      <c r="C6" s="20"/>
      <c r="D6" s="17"/>
      <c r="E6" s="17"/>
      <c r="F6" s="17"/>
      <c r="G6" s="17"/>
      <c r="H6" s="17"/>
      <c r="I6" s="17"/>
      <c r="N6" s="191"/>
      <c r="O6" s="191"/>
      <c r="P6" s="191"/>
      <c r="Q6" s="191"/>
      <c r="R6" s="191"/>
      <c r="S6" s="191"/>
      <c r="T6" s="191"/>
      <c r="U6" s="191"/>
      <c r="V6" s="191"/>
    </row>
    <row r="7" spans="2:43" x14ac:dyDescent="0.3">
      <c r="B7" s="221" t="s">
        <v>107</v>
      </c>
      <c r="C7" s="221"/>
      <c r="D7" s="221" t="s">
        <v>108</v>
      </c>
      <c r="E7" s="221"/>
      <c r="F7" s="221"/>
      <c r="G7" s="17"/>
      <c r="H7" s="17"/>
      <c r="I7" s="17"/>
      <c r="N7" s="191"/>
      <c r="O7" s="191"/>
      <c r="P7" s="191"/>
      <c r="Q7" s="191"/>
      <c r="R7" s="191"/>
      <c r="S7" s="191"/>
      <c r="T7" s="191"/>
      <c r="U7" s="191"/>
      <c r="V7" s="191"/>
    </row>
    <row r="8" spans="2:43" x14ac:dyDescent="0.3">
      <c r="B8" s="221"/>
      <c r="C8" s="221"/>
      <c r="D8" s="221"/>
      <c r="E8" s="221"/>
      <c r="F8" s="221"/>
      <c r="G8" s="17"/>
      <c r="H8" s="17"/>
      <c r="I8" s="17"/>
      <c r="N8" s="191"/>
      <c r="O8" s="191"/>
      <c r="P8" s="191"/>
      <c r="Q8" s="191"/>
      <c r="R8" s="191"/>
      <c r="S8" s="191"/>
      <c r="T8" s="191"/>
      <c r="U8" s="191"/>
      <c r="V8" s="191"/>
    </row>
    <row r="9" spans="2:43" x14ac:dyDescent="0.3">
      <c r="B9" s="198" t="s">
        <v>109</v>
      </c>
      <c r="C9" s="198"/>
      <c r="D9" s="226">
        <v>9836</v>
      </c>
      <c r="E9" s="226"/>
      <c r="F9" s="228"/>
      <c r="G9" s="17"/>
      <c r="H9" s="17"/>
      <c r="I9" s="17"/>
      <c r="N9" s="191"/>
      <c r="O9" s="191"/>
      <c r="P9" s="191"/>
      <c r="Q9" s="191"/>
      <c r="R9" s="191"/>
      <c r="S9" s="191"/>
      <c r="T9" s="191"/>
      <c r="U9" s="191"/>
      <c r="V9" s="191"/>
    </row>
    <row r="10" spans="2:43" x14ac:dyDescent="0.3">
      <c r="B10" s="198" t="s">
        <v>110</v>
      </c>
      <c r="C10" s="198"/>
      <c r="D10" s="226">
        <v>7847</v>
      </c>
      <c r="E10" s="226"/>
      <c r="F10" s="221"/>
      <c r="G10" s="17"/>
      <c r="H10" s="17"/>
      <c r="I10" s="17"/>
    </row>
    <row r="11" spans="2:43" x14ac:dyDescent="0.3">
      <c r="B11" s="198" t="s">
        <v>45</v>
      </c>
      <c r="C11" s="198"/>
      <c r="D11" s="226">
        <v>17682.613978240544</v>
      </c>
      <c r="E11" s="226"/>
      <c r="F11" s="18"/>
      <c r="G11" s="17"/>
      <c r="H11" s="17"/>
      <c r="I11" s="17"/>
    </row>
    <row r="13" spans="2:43" ht="34.200000000000003" customHeight="1" x14ac:dyDescent="0.3">
      <c r="B13" s="221" t="s">
        <v>111</v>
      </c>
      <c r="C13" s="221"/>
      <c r="D13" s="221"/>
      <c r="E13" s="221"/>
      <c r="F13" s="221"/>
      <c r="G13" s="221"/>
      <c r="H13" s="221"/>
      <c r="I13" s="221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</row>
    <row r="14" spans="2:43" x14ac:dyDescent="0.3"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</row>
    <row r="15" spans="2:43" x14ac:dyDescent="0.3"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</row>
    <row r="16" spans="2:43" x14ac:dyDescent="0.3">
      <c r="B16" s="224" t="s">
        <v>104</v>
      </c>
      <c r="C16" s="224"/>
      <c r="D16" s="215" t="s">
        <v>112</v>
      </c>
      <c r="E16" s="215"/>
      <c r="F16" s="215"/>
      <c r="G16" s="215"/>
      <c r="H16" s="215"/>
      <c r="I16" s="215"/>
      <c r="J16" s="215"/>
      <c r="K16" s="215" t="s">
        <v>113</v>
      </c>
      <c r="L16" s="215"/>
      <c r="M16" s="54" t="s">
        <v>114</v>
      </c>
      <c r="N16" s="54"/>
      <c r="O16" s="54"/>
      <c r="P16" s="215" t="s">
        <v>115</v>
      </c>
      <c r="Q16" s="215"/>
      <c r="R16" s="215"/>
      <c r="S16" s="215"/>
      <c r="T16" s="55"/>
      <c r="U16" s="55"/>
      <c r="V16" s="218" t="s">
        <v>116</v>
      </c>
      <c r="W16" s="17"/>
      <c r="Y16" s="224" t="s">
        <v>104</v>
      </c>
      <c r="Z16" s="224"/>
      <c r="AA16" s="215" t="s">
        <v>117</v>
      </c>
      <c r="AB16" s="215"/>
      <c r="AC16" s="215"/>
      <c r="AD16" s="215"/>
      <c r="AE16" s="215"/>
      <c r="AF16" s="215"/>
      <c r="AG16" s="215"/>
      <c r="AH16" s="215" t="s">
        <v>118</v>
      </c>
      <c r="AI16" s="215"/>
      <c r="AJ16" s="54" t="s">
        <v>119</v>
      </c>
      <c r="AK16" s="54"/>
      <c r="AL16" s="215" t="s">
        <v>120</v>
      </c>
      <c r="AM16" s="215"/>
      <c r="AN16" s="215"/>
      <c r="AO16" s="215"/>
      <c r="AP16" s="215"/>
      <c r="AQ16" s="218" t="s">
        <v>116</v>
      </c>
    </row>
    <row r="17" spans="2:52" ht="55.5" customHeight="1" x14ac:dyDescent="0.3">
      <c r="B17" s="225"/>
      <c r="C17" s="225"/>
      <c r="D17" s="56" t="s">
        <v>121</v>
      </c>
      <c r="E17" s="56" t="s">
        <v>122</v>
      </c>
      <c r="F17" s="56" t="s">
        <v>123</v>
      </c>
      <c r="G17" s="56" t="s">
        <v>124</v>
      </c>
      <c r="H17" s="56" t="s">
        <v>125</v>
      </c>
      <c r="I17" s="56" t="s">
        <v>126</v>
      </c>
      <c r="J17" s="56" t="s">
        <v>127</v>
      </c>
      <c r="K17" s="56" t="s">
        <v>16</v>
      </c>
      <c r="L17" s="56" t="s">
        <v>17</v>
      </c>
      <c r="M17" s="56" t="s">
        <v>128</v>
      </c>
      <c r="N17" s="57" t="s">
        <v>129</v>
      </c>
      <c r="O17" s="56"/>
      <c r="P17" s="56" t="s">
        <v>16</v>
      </c>
      <c r="Q17" s="56" t="s">
        <v>17</v>
      </c>
      <c r="R17" s="56" t="s">
        <v>18</v>
      </c>
      <c r="S17" s="56" t="s">
        <v>19</v>
      </c>
      <c r="T17" s="57" t="s">
        <v>130</v>
      </c>
      <c r="U17" s="58"/>
      <c r="V17" s="222"/>
      <c r="W17" s="17"/>
      <c r="Y17" s="225"/>
      <c r="Z17" s="225"/>
      <c r="AA17" s="56" t="s">
        <v>121</v>
      </c>
      <c r="AB17" s="56" t="s">
        <v>122</v>
      </c>
      <c r="AC17" s="56" t="s">
        <v>123</v>
      </c>
      <c r="AD17" s="56" t="s">
        <v>124</v>
      </c>
      <c r="AE17" s="56" t="s">
        <v>125</v>
      </c>
      <c r="AF17" s="56" t="s">
        <v>126</v>
      </c>
      <c r="AG17" s="56" t="s">
        <v>127</v>
      </c>
      <c r="AH17" s="56" t="s">
        <v>16</v>
      </c>
      <c r="AI17" s="56" t="s">
        <v>17</v>
      </c>
      <c r="AJ17" s="56" t="s">
        <v>128</v>
      </c>
      <c r="AK17" s="57" t="s">
        <v>129</v>
      </c>
      <c r="AL17" s="56" t="s">
        <v>16</v>
      </c>
      <c r="AM17" s="56" t="s">
        <v>17</v>
      </c>
      <c r="AN17" s="56" t="s">
        <v>18</v>
      </c>
      <c r="AO17" s="56" t="s">
        <v>19</v>
      </c>
      <c r="AP17" s="57" t="s">
        <v>130</v>
      </c>
      <c r="AQ17" s="222"/>
    </row>
    <row r="18" spans="2:52" ht="18" customHeight="1" x14ac:dyDescent="0.3">
      <c r="B18" s="200" t="s">
        <v>131</v>
      </c>
      <c r="C18" s="200"/>
      <c r="D18" s="59" t="s">
        <v>132</v>
      </c>
      <c r="E18" s="59" t="s">
        <v>132</v>
      </c>
      <c r="F18" s="20" t="s">
        <v>133</v>
      </c>
      <c r="G18" s="59" t="s">
        <v>132</v>
      </c>
      <c r="H18" s="20" t="s">
        <v>133</v>
      </c>
      <c r="I18" s="59" t="s">
        <v>132</v>
      </c>
      <c r="J18" s="20" t="s">
        <v>133</v>
      </c>
      <c r="K18" s="20" t="s">
        <v>134</v>
      </c>
      <c r="L18" s="20" t="s">
        <v>135</v>
      </c>
      <c r="M18" s="59" t="s">
        <v>132</v>
      </c>
      <c r="N18" s="20"/>
      <c r="O18" s="20"/>
      <c r="P18" s="20" t="s">
        <v>134</v>
      </c>
      <c r="Q18" s="20" t="s">
        <v>135</v>
      </c>
      <c r="R18" s="20" t="s">
        <v>136</v>
      </c>
      <c r="S18" s="20" t="s">
        <v>137</v>
      </c>
      <c r="T18" s="20"/>
      <c r="U18" s="20"/>
      <c r="V18" s="60"/>
      <c r="W18" s="17"/>
      <c r="Y18" s="223" t="s">
        <v>131</v>
      </c>
      <c r="Z18" s="223"/>
      <c r="AA18" s="61" t="s">
        <v>132</v>
      </c>
      <c r="AB18" s="61" t="s">
        <v>132</v>
      </c>
      <c r="AC18" s="62" t="s">
        <v>133</v>
      </c>
      <c r="AD18" s="61" t="s">
        <v>132</v>
      </c>
      <c r="AE18" s="62" t="s">
        <v>133</v>
      </c>
      <c r="AF18" s="61" t="s">
        <v>132</v>
      </c>
      <c r="AG18" s="62" t="s">
        <v>133</v>
      </c>
      <c r="AH18" s="62" t="s">
        <v>134</v>
      </c>
      <c r="AI18" s="62" t="s">
        <v>135</v>
      </c>
      <c r="AJ18" s="61" t="s">
        <v>132</v>
      </c>
      <c r="AK18" s="62"/>
      <c r="AL18" s="62" t="s">
        <v>134</v>
      </c>
      <c r="AM18" s="62" t="s">
        <v>135</v>
      </c>
      <c r="AN18" s="62" t="s">
        <v>136</v>
      </c>
      <c r="AO18" s="62" t="s">
        <v>137</v>
      </c>
      <c r="AP18" s="20"/>
      <c r="AQ18" s="60"/>
    </row>
    <row r="19" spans="2:52" ht="18" customHeight="1" x14ac:dyDescent="0.3">
      <c r="B19" s="216" t="s">
        <v>138</v>
      </c>
      <c r="C19" s="216"/>
      <c r="D19" s="63">
        <f>#REF!+#REF!+#REF!+#REF!+#REF!+#REF!+#REF!</f>
        <v>3481</v>
      </c>
      <c r="E19" s="63">
        <f>#REF!+#REF!+#REF!+#REF!+#REF!+#REF!+#REF!</f>
        <v>25542</v>
      </c>
      <c r="F19" s="63">
        <f>#REF!+#REF!+#REF!+#REF!+#REF!+#REF!+#REF!</f>
        <v>6109</v>
      </c>
      <c r="G19" s="63">
        <f>#REF!+#REF!+#REF!+#REF!+#REF!+#REF!+#REF!</f>
        <v>7822</v>
      </c>
      <c r="H19" s="63">
        <f>#REF!+#REF!+#REF!+#REF!+#REF!+#REF!+#REF!</f>
        <v>1970</v>
      </c>
      <c r="I19" s="63">
        <f>#REF!+#REF!+#REF!+#REF!+#REF!+#REF!+#REF!</f>
        <v>9530</v>
      </c>
      <c r="J19" s="63">
        <f>#REF!+#REF!+#REF!+#REF!+#REF!+#REF!+#REF!</f>
        <v>185</v>
      </c>
      <c r="K19" s="63">
        <f>#REF!+#REF!+#REF!+#REF!+#REF!+#REF!+#REF!</f>
        <v>131</v>
      </c>
      <c r="L19" s="63">
        <f>#REF!+#REF!+#REF!+#REF!+#REF!+#REF!+#REF!</f>
        <v>11</v>
      </c>
      <c r="M19" s="63">
        <f>#REF!+#REF!+#REF!+#REF!+#REF!+#REF!+#REF!</f>
        <v>381</v>
      </c>
      <c r="N19" s="63">
        <f>SUM(D19:L19)+M19</f>
        <v>55162</v>
      </c>
      <c r="O19" s="63"/>
      <c r="P19" s="63">
        <f>#REF!+#REF!+#REF!+#REF!+#REF!+#REF!+#REF!</f>
        <v>4150</v>
      </c>
      <c r="Q19" s="63">
        <f>#REF!+#REF!+#REF!+#REF!+#REF!+#REF!+#REF!</f>
        <v>255</v>
      </c>
      <c r="R19" s="63">
        <f>#REF!+#REF!+#REF!+#REF!+#REF!+#REF!+#REF!</f>
        <v>159</v>
      </c>
      <c r="S19" s="63">
        <f>#REF!+#REF!+#REF!+#REF!+#REF!+#REF!+#REF!</f>
        <v>606</v>
      </c>
      <c r="T19" s="63">
        <f>SUM(P19:S19)</f>
        <v>5170</v>
      </c>
      <c r="U19" s="63"/>
      <c r="V19" s="63">
        <f>D19+E19+F19+G19+H19+I19+J19+K19+L19+P19+Q19+R19+S19+M19</f>
        <v>60332</v>
      </c>
      <c r="W19" s="17"/>
      <c r="Y19" s="221" t="s">
        <v>139</v>
      </c>
      <c r="Z19" s="214"/>
      <c r="AA19" s="214"/>
      <c r="AB19" s="214"/>
      <c r="AC19" s="214"/>
      <c r="AD19" s="214"/>
      <c r="AE19" s="214"/>
      <c r="AF19" s="214"/>
      <c r="AG19" s="214"/>
      <c r="AH19" s="214"/>
      <c r="AI19" s="214"/>
      <c r="AJ19" s="214"/>
      <c r="AK19" s="214"/>
      <c r="AL19" s="214"/>
      <c r="AM19" s="214"/>
      <c r="AN19" s="214"/>
      <c r="AO19" s="214"/>
      <c r="AP19" s="214"/>
      <c r="AQ19" s="214"/>
    </row>
    <row r="20" spans="2:52" ht="18" customHeight="1" x14ac:dyDescent="0.3">
      <c r="B20" s="198" t="s">
        <v>140</v>
      </c>
      <c r="C20" s="198"/>
      <c r="D20" s="64">
        <f t="shared" ref="D20:M20" si="0">D19/$V$19</f>
        <v>5.7697407677517736E-2</v>
      </c>
      <c r="E20" s="64">
        <f t="shared" si="0"/>
        <v>0.42335742226347545</v>
      </c>
      <c r="F20" s="64">
        <f t="shared" si="0"/>
        <v>0.10125638135649406</v>
      </c>
      <c r="G20" s="64">
        <f t="shared" si="0"/>
        <v>0.12964927401710535</v>
      </c>
      <c r="H20" s="64">
        <f t="shared" si="0"/>
        <v>3.2652655307299612E-2</v>
      </c>
      <c r="I20" s="64">
        <f t="shared" si="0"/>
        <v>0.15795929191805344</v>
      </c>
      <c r="J20" s="64">
        <f t="shared" si="0"/>
        <v>3.0663661075382882E-3</v>
      </c>
      <c r="K20" s="64">
        <f t="shared" si="0"/>
        <v>2.1713187031757609E-3</v>
      </c>
      <c r="L20" s="64">
        <f t="shared" si="0"/>
        <v>1.8232447125903335E-4</v>
      </c>
      <c r="M20" s="64">
        <f t="shared" si="0"/>
        <v>6.3150566863356093E-3</v>
      </c>
      <c r="N20" s="65">
        <f>SUM(D20:L20)+M20</f>
        <v>0.91430749850825443</v>
      </c>
      <c r="O20" s="64"/>
      <c r="P20" s="64">
        <f>P19/$V$19</f>
        <v>6.8786050520453487E-2</v>
      </c>
      <c r="Q20" s="64">
        <f>Q19/$V$19</f>
        <v>4.2266127428230455E-3</v>
      </c>
      <c r="R20" s="64">
        <f>R19/$V$19</f>
        <v>2.6354173572896637E-3</v>
      </c>
      <c r="S20" s="64">
        <f>S19/$V$19</f>
        <v>1.0044420871179474E-2</v>
      </c>
      <c r="T20" s="65">
        <f>SUM(P20:S20)</f>
        <v>8.5692501491745662E-2</v>
      </c>
      <c r="U20" s="64"/>
      <c r="V20" s="66">
        <f>T20+N20</f>
        <v>1</v>
      </c>
      <c r="W20" s="17"/>
      <c r="X20" s="67"/>
      <c r="Y20" s="216" t="s">
        <v>141</v>
      </c>
      <c r="Z20" s="216"/>
      <c r="AA20" s="68">
        <v>2616</v>
      </c>
      <c r="AB20" s="68">
        <v>20297</v>
      </c>
      <c r="AC20" s="68">
        <v>6738</v>
      </c>
      <c r="AD20" s="68">
        <v>7472</v>
      </c>
      <c r="AE20" s="68">
        <v>1561</v>
      </c>
      <c r="AF20" s="68">
        <v>12094</v>
      </c>
      <c r="AG20" s="68">
        <v>135</v>
      </c>
      <c r="AH20" s="68">
        <v>131</v>
      </c>
      <c r="AI20" s="68">
        <v>5</v>
      </c>
      <c r="AJ20" s="68">
        <v>297</v>
      </c>
      <c r="AK20" s="68">
        <v>51346</v>
      </c>
      <c r="AL20" s="68">
        <v>3877</v>
      </c>
      <c r="AM20" s="68">
        <v>108</v>
      </c>
      <c r="AN20" s="68">
        <v>165</v>
      </c>
      <c r="AO20" s="68">
        <v>617</v>
      </c>
      <c r="AP20" s="68">
        <f>SUM(AL20:AO20)</f>
        <v>4767</v>
      </c>
      <c r="AQ20" s="68">
        <f>SUM(AK20,AP20)</f>
        <v>56113</v>
      </c>
    </row>
    <row r="21" spans="2:52" ht="18" customHeight="1" x14ac:dyDescent="0.3">
      <c r="B21" s="220" t="s">
        <v>76</v>
      </c>
      <c r="C21" s="220"/>
      <c r="D21" s="69">
        <f t="shared" ref="D21:M21" si="1">ROUNDUP(D20*$D$9,5)</f>
        <v>567.51170999999999</v>
      </c>
      <c r="E21" s="69">
        <f t="shared" si="1"/>
        <v>4164.1436100000001</v>
      </c>
      <c r="F21" s="69">
        <f t="shared" si="1"/>
        <v>995.95776999999998</v>
      </c>
      <c r="G21" s="69">
        <f t="shared" si="1"/>
        <v>1275.23026</v>
      </c>
      <c r="H21" s="69">
        <f t="shared" si="1"/>
        <v>321.17151999999999</v>
      </c>
      <c r="I21" s="69">
        <f t="shared" si="1"/>
        <v>1553.6876</v>
      </c>
      <c r="J21" s="69">
        <f t="shared" si="1"/>
        <v>30.160779999999999</v>
      </c>
      <c r="K21" s="69">
        <f t="shared" si="1"/>
        <v>21.357099999999999</v>
      </c>
      <c r="L21" s="70">
        <f t="shared" si="1"/>
        <v>1.79335</v>
      </c>
      <c r="M21" s="69">
        <f t="shared" si="1"/>
        <v>62.114900000000006</v>
      </c>
      <c r="N21" s="63">
        <f>SUM(D21:L21)+M21</f>
        <v>8993.1286</v>
      </c>
      <c r="O21" s="71"/>
      <c r="P21" s="72">
        <f>P20*$D$9</f>
        <v>676.57959291918053</v>
      </c>
      <c r="Q21" s="72">
        <f>Q20*$D$9</f>
        <v>41.572962938407478</v>
      </c>
      <c r="R21" s="72">
        <f>R20*$D$9</f>
        <v>25.921965126301131</v>
      </c>
      <c r="S21" s="72">
        <f>S20*$D$9</f>
        <v>98.796923688921311</v>
      </c>
      <c r="T21" s="63">
        <f>SUM(P21:S21)</f>
        <v>842.87144467281053</v>
      </c>
      <c r="U21" s="71"/>
      <c r="V21" s="68">
        <f>T21+N21</f>
        <v>9836.00004467281</v>
      </c>
      <c r="W21" s="17"/>
      <c r="Y21" s="198" t="s">
        <v>140</v>
      </c>
      <c r="Z21" s="198"/>
      <c r="AA21" s="73">
        <v>4.6620212784916154E-2</v>
      </c>
      <c r="AB21" s="73">
        <v>0.36171653627501649</v>
      </c>
      <c r="AC21" s="73">
        <v>0.12007912604922211</v>
      </c>
      <c r="AD21" s="73">
        <v>0.13315987382602962</v>
      </c>
      <c r="AE21" s="73">
        <v>2.7818865503537505E-2</v>
      </c>
      <c r="AF21" s="73">
        <v>0.21552937821895105</v>
      </c>
      <c r="AG21" s="73">
        <v>2.4058596047261773E-3</v>
      </c>
      <c r="AH21" s="73">
        <v>2.3345748756972537E-3</v>
      </c>
      <c r="AI21" s="73">
        <v>8.9105911286154726E-5</v>
      </c>
      <c r="AJ21" s="73">
        <v>5.2928911303975904E-3</v>
      </c>
      <c r="AK21" s="74">
        <v>0.91504642417977999</v>
      </c>
      <c r="AL21" s="75">
        <f>AL20/$V$23</f>
        <v>6.9092723611284379E-2</v>
      </c>
      <c r="AM21" s="75">
        <f>AM20/$V$23</f>
        <v>1.924687683780942E-3</v>
      </c>
      <c r="AN21" s="75">
        <f>AN20/$V$23</f>
        <v>2.9404950724431058E-3</v>
      </c>
      <c r="AO21" s="75">
        <f>AO20/$V$23</f>
        <v>1.0995669452711493E-2</v>
      </c>
      <c r="AP21" s="74">
        <f>SUM(AL21:AO21)</f>
        <v>8.4953575820219923E-2</v>
      </c>
      <c r="AQ21" s="66">
        <f>SUM(AK21,AP21)</f>
        <v>0.99999999999999989</v>
      </c>
    </row>
    <row r="22" spans="2:52" ht="18" customHeight="1" x14ac:dyDescent="0.3">
      <c r="B22" s="198"/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7"/>
      <c r="Y22" s="221" t="s">
        <v>142</v>
      </c>
      <c r="Z22" s="214"/>
      <c r="AA22" s="214"/>
      <c r="AB22" s="214"/>
      <c r="AC22" s="214"/>
      <c r="AD22" s="214"/>
      <c r="AE22" s="214"/>
      <c r="AF22" s="214"/>
      <c r="AG22" s="214"/>
      <c r="AH22" s="214"/>
      <c r="AI22" s="214"/>
      <c r="AJ22" s="214"/>
      <c r="AK22" s="214"/>
      <c r="AL22" s="214"/>
      <c r="AM22" s="214"/>
      <c r="AN22" s="214"/>
      <c r="AO22" s="214"/>
      <c r="AP22" s="214"/>
      <c r="AQ22" s="214"/>
      <c r="AR22" s="76"/>
      <c r="AS22" s="76">
        <v>56113</v>
      </c>
    </row>
    <row r="23" spans="2:52" ht="18" customHeight="1" x14ac:dyDescent="0.3">
      <c r="B23" s="216" t="s">
        <v>141</v>
      </c>
      <c r="C23" s="216"/>
      <c r="D23" s="63">
        <f>#REF!+#REF!+#REF!+#REF!+#REF!+#REF!+#REF!</f>
        <v>2616</v>
      </c>
      <c r="E23" s="63">
        <f>#REF!+#REF!+#REF!+#REF!+#REF!+#REF!+#REF!</f>
        <v>20297</v>
      </c>
      <c r="F23" s="63">
        <f>#REF!+#REF!+#REF!+#REF!+#REF!+#REF!+#REF!</f>
        <v>6738</v>
      </c>
      <c r="G23" s="63">
        <f>#REF!+#REF!+#REF!+#REF!+#REF!+#REF!+#REF!</f>
        <v>7472</v>
      </c>
      <c r="H23" s="63">
        <f>#REF!+#REF!+#REF!+#REF!+#REF!+#REF!+#REF!</f>
        <v>1561</v>
      </c>
      <c r="I23" s="63">
        <f>#REF!+#REF!+#REF!+#REF!+#REF!+#REF!+#REF!</f>
        <v>12094</v>
      </c>
      <c r="J23" s="63">
        <f>#REF!+#REF!+#REF!+#REF!+#REF!+#REF!+#REF!</f>
        <v>135</v>
      </c>
      <c r="K23" s="63">
        <f>#REF!+#REF!+#REF!+#REF!+#REF!+#REF!+#REF!</f>
        <v>131</v>
      </c>
      <c r="L23" s="63">
        <f>#REF!+#REF!+#REF!+#REF!+#REF!+#REF!+#REF!</f>
        <v>5</v>
      </c>
      <c r="M23" s="63">
        <f>#REF!+#REF!+#REF!+#REF!+#REF!+#REF!+#REF!</f>
        <v>297</v>
      </c>
      <c r="N23" s="63">
        <f>SUM(D23:L23)+M23</f>
        <v>51346</v>
      </c>
      <c r="O23" s="63"/>
      <c r="P23" s="63">
        <f>#REF!+#REF!+#REF!+#REF!+#REF!+#REF!+#REF!</f>
        <v>3877</v>
      </c>
      <c r="Q23" s="63">
        <f>#REF!+#REF!+#REF!+#REF!+#REF!+#REF!+#REF!</f>
        <v>108</v>
      </c>
      <c r="R23" s="63">
        <f>#REF!+#REF!+#REF!+#REF!+#REF!+#REF!+#REF!</f>
        <v>165</v>
      </c>
      <c r="S23" s="63">
        <f>#REF!+#REF!+#REF!+#REF!+#REF!+#REF!+#REF!</f>
        <v>617</v>
      </c>
      <c r="T23" s="63">
        <f>SUM(P23:S23)</f>
        <v>4767</v>
      </c>
      <c r="U23" s="63"/>
      <c r="V23" s="63">
        <f>D23+E23+F23+G23+H23+I23+J23+K23+L23+P23+Q23+R23+S23+M23</f>
        <v>56113</v>
      </c>
      <c r="W23" s="17"/>
      <c r="Y23" s="216" t="s">
        <v>138</v>
      </c>
      <c r="Z23" s="216"/>
      <c r="AA23" s="77">
        <v>3481</v>
      </c>
      <c r="AB23" s="77">
        <v>25542</v>
      </c>
      <c r="AC23" s="77">
        <v>6109</v>
      </c>
      <c r="AD23" s="77">
        <v>7822</v>
      </c>
      <c r="AE23" s="77">
        <v>1970</v>
      </c>
      <c r="AF23" s="77">
        <v>9530</v>
      </c>
      <c r="AG23" s="77">
        <v>185</v>
      </c>
      <c r="AH23" s="77">
        <v>131</v>
      </c>
      <c r="AI23" s="77">
        <v>11</v>
      </c>
      <c r="AJ23" s="77">
        <v>381</v>
      </c>
      <c r="AK23" s="77">
        <v>55162</v>
      </c>
      <c r="AL23" s="77">
        <v>4150</v>
      </c>
      <c r="AM23" s="77">
        <v>255</v>
      </c>
      <c r="AN23" s="77">
        <v>159</v>
      </c>
      <c r="AO23" s="77">
        <v>606</v>
      </c>
      <c r="AP23" s="77">
        <f>SUM(AL23:AO23)</f>
        <v>5170</v>
      </c>
      <c r="AQ23" s="68">
        <f>SUM(AP23,AK23)</f>
        <v>60332</v>
      </c>
      <c r="AR23" s="67"/>
      <c r="AS23" s="78">
        <v>0.99999999999999989</v>
      </c>
    </row>
    <row r="24" spans="2:52" ht="18" customHeight="1" x14ac:dyDescent="0.3">
      <c r="B24" s="198" t="s">
        <v>140</v>
      </c>
      <c r="C24" s="198"/>
      <c r="D24" s="79">
        <f t="shared" ref="D24:M24" si="2">D23/$V$23</f>
        <v>4.6620212784916154E-2</v>
      </c>
      <c r="E24" s="79">
        <f t="shared" si="2"/>
        <v>0.36171653627501649</v>
      </c>
      <c r="F24" s="79">
        <f t="shared" si="2"/>
        <v>0.12007912604922211</v>
      </c>
      <c r="G24" s="79">
        <f t="shared" si="2"/>
        <v>0.13315987382602962</v>
      </c>
      <c r="H24" s="79">
        <f t="shared" si="2"/>
        <v>2.7818865503537505E-2</v>
      </c>
      <c r="I24" s="79">
        <f t="shared" si="2"/>
        <v>0.21552937821895105</v>
      </c>
      <c r="J24" s="79">
        <f t="shared" si="2"/>
        <v>2.4058596047261773E-3</v>
      </c>
      <c r="K24" s="79">
        <f t="shared" si="2"/>
        <v>2.3345748756972537E-3</v>
      </c>
      <c r="L24" s="79">
        <f t="shared" si="2"/>
        <v>8.9105911286154726E-5</v>
      </c>
      <c r="M24" s="79">
        <f t="shared" si="2"/>
        <v>5.2928911303975904E-3</v>
      </c>
      <c r="N24" s="65">
        <f>SUM(D24:L24)+M24</f>
        <v>0.91504642417977999</v>
      </c>
      <c r="O24" s="79"/>
      <c r="P24" s="79">
        <f>P23/$V$23</f>
        <v>6.9092723611284379E-2</v>
      </c>
      <c r="Q24" s="79">
        <f>Q23/$V$23</f>
        <v>1.924687683780942E-3</v>
      </c>
      <c r="R24" s="79">
        <f>R23/$V$23</f>
        <v>2.9404950724431058E-3</v>
      </c>
      <c r="S24" s="79">
        <f>S23/$V$23</f>
        <v>1.0995669452711493E-2</v>
      </c>
      <c r="T24" s="65">
        <f>SUM(P24:S24)</f>
        <v>8.4953575820219923E-2</v>
      </c>
      <c r="U24" s="79"/>
      <c r="V24" s="66">
        <f>T24+N24</f>
        <v>0.99999999999999989</v>
      </c>
      <c r="W24" s="17"/>
      <c r="X24" s="67"/>
      <c r="Y24" s="198" t="s">
        <v>143</v>
      </c>
      <c r="Z24" s="198"/>
      <c r="AA24" s="73">
        <f t="shared" ref="AA24:AJ24" si="3">AA23/$V$19</f>
        <v>5.7697407677517736E-2</v>
      </c>
      <c r="AB24" s="73">
        <f t="shared" si="3"/>
        <v>0.42335742226347545</v>
      </c>
      <c r="AC24" s="73">
        <f t="shared" si="3"/>
        <v>0.10125638135649406</v>
      </c>
      <c r="AD24" s="73">
        <f t="shared" si="3"/>
        <v>0.12964927401710535</v>
      </c>
      <c r="AE24" s="73">
        <f t="shared" si="3"/>
        <v>3.2652655307299612E-2</v>
      </c>
      <c r="AF24" s="73">
        <f t="shared" si="3"/>
        <v>0.15795929191805344</v>
      </c>
      <c r="AG24" s="73">
        <f t="shared" si="3"/>
        <v>3.0663661075382882E-3</v>
      </c>
      <c r="AH24" s="73">
        <f t="shared" si="3"/>
        <v>2.1713187031757609E-3</v>
      </c>
      <c r="AI24" s="73">
        <f t="shared" si="3"/>
        <v>1.8232447125903335E-4</v>
      </c>
      <c r="AJ24" s="73">
        <f t="shared" si="3"/>
        <v>6.3150566863356093E-3</v>
      </c>
      <c r="AK24" s="74">
        <f>SUM(AA24:AI24)+AJ24</f>
        <v>0.91430749850825443</v>
      </c>
      <c r="AL24" s="73">
        <f>AL23/$V$19</f>
        <v>6.8786050520453487E-2</v>
      </c>
      <c r="AM24" s="73">
        <f>AM23/$V$19</f>
        <v>4.2266127428230455E-3</v>
      </c>
      <c r="AN24" s="73">
        <f>AN23/$V$19</f>
        <v>2.6354173572896637E-3</v>
      </c>
      <c r="AO24" s="73">
        <f>AO23/$V$19</f>
        <v>1.0044420871179474E-2</v>
      </c>
      <c r="AP24" s="74">
        <f>SUM(AL24:AO24)</f>
        <v>8.5692501491745662E-2</v>
      </c>
      <c r="AQ24" s="66">
        <f>AP24+AK24</f>
        <v>1</v>
      </c>
    </row>
    <row r="25" spans="2:52" x14ac:dyDescent="0.3">
      <c r="B25" s="219" t="s">
        <v>76</v>
      </c>
      <c r="C25" s="219"/>
      <c r="D25" s="80">
        <f t="shared" ref="D25:M25" si="4">D24*$D$10</f>
        <v>365.82880972323704</v>
      </c>
      <c r="E25" s="80">
        <f t="shared" si="4"/>
        <v>2838.3896601500542</v>
      </c>
      <c r="F25" s="80">
        <f t="shared" si="4"/>
        <v>942.26090210824589</v>
      </c>
      <c r="G25" s="80">
        <f t="shared" si="4"/>
        <v>1044.9055299128545</v>
      </c>
      <c r="H25" s="80">
        <f t="shared" si="4"/>
        <v>218.29463760625879</v>
      </c>
      <c r="I25" s="80">
        <f t="shared" si="4"/>
        <v>1691.2590308841088</v>
      </c>
      <c r="J25" s="80">
        <f t="shared" si="4"/>
        <v>18.878780318286314</v>
      </c>
      <c r="K25" s="80">
        <f t="shared" si="4"/>
        <v>18.319409049596349</v>
      </c>
      <c r="L25" s="80">
        <f t="shared" si="4"/>
        <v>0.69921408586245615</v>
      </c>
      <c r="M25" s="80">
        <f t="shared" si="4"/>
        <v>41.533316700229889</v>
      </c>
      <c r="N25" s="81">
        <f>SUM(D25:L25)+M25</f>
        <v>7180.3692905387343</v>
      </c>
      <c r="O25" s="80"/>
      <c r="P25" s="80">
        <f>P24*$D$10</f>
        <v>542.17060217774849</v>
      </c>
      <c r="Q25" s="80">
        <f>Q24*$D$10</f>
        <v>15.103024254629052</v>
      </c>
      <c r="R25" s="80">
        <f>R24*$D$10</f>
        <v>23.074064833461051</v>
      </c>
      <c r="S25" s="80">
        <f>S24*$D$10</f>
        <v>86.28301819542709</v>
      </c>
      <c r="T25" s="81">
        <f>SUM(P25:S25)</f>
        <v>666.63070946126572</v>
      </c>
      <c r="U25" s="80"/>
      <c r="V25" s="82">
        <f>T25+N25</f>
        <v>7847</v>
      </c>
      <c r="W25" s="29" t="s">
        <v>144</v>
      </c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</row>
    <row r="26" spans="2:52" x14ac:dyDescent="0.3">
      <c r="B26" s="198"/>
      <c r="C26" s="198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</row>
    <row r="27" spans="2:52" x14ac:dyDescent="0.3">
      <c r="B27" s="198" t="s">
        <v>145</v>
      </c>
      <c r="C27" s="198"/>
      <c r="D27" s="83">
        <f>D19+D23</f>
        <v>6097</v>
      </c>
      <c r="E27" s="83">
        <f t="shared" ref="E27:S27" si="5">E19+E23</f>
        <v>45839</v>
      </c>
      <c r="F27" s="83">
        <f t="shared" si="5"/>
        <v>12847</v>
      </c>
      <c r="G27" s="83">
        <f t="shared" si="5"/>
        <v>15294</v>
      </c>
      <c r="H27" s="83">
        <f t="shared" si="5"/>
        <v>3531</v>
      </c>
      <c r="I27" s="83">
        <f t="shared" si="5"/>
        <v>21624</v>
      </c>
      <c r="J27" s="83">
        <f t="shared" si="5"/>
        <v>320</v>
      </c>
      <c r="K27" s="83">
        <f t="shared" si="5"/>
        <v>262</v>
      </c>
      <c r="L27" s="83">
        <f t="shared" si="5"/>
        <v>16</v>
      </c>
      <c r="M27" s="83">
        <f>M19+M23</f>
        <v>678</v>
      </c>
      <c r="N27" s="83"/>
      <c r="O27" s="83"/>
      <c r="P27" s="83">
        <f t="shared" si="5"/>
        <v>8027</v>
      </c>
      <c r="Q27" s="83">
        <f t="shared" si="5"/>
        <v>363</v>
      </c>
      <c r="R27" s="83">
        <f t="shared" si="5"/>
        <v>324</v>
      </c>
      <c r="S27" s="83">
        <f t="shared" si="5"/>
        <v>1223</v>
      </c>
      <c r="T27" s="83"/>
      <c r="U27" s="83"/>
      <c r="V27" s="63">
        <f>SUM(D27:U27)</f>
        <v>116445</v>
      </c>
      <c r="W27" s="83">
        <f>V27/7</f>
        <v>16635</v>
      </c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</row>
    <row r="28" spans="2:52" ht="19.95" customHeight="1" x14ac:dyDescent="0.3">
      <c r="B28" s="205" t="s">
        <v>146</v>
      </c>
      <c r="C28" s="205"/>
      <c r="D28" s="84">
        <f>D21+D25</f>
        <v>933.34051972323709</v>
      </c>
      <c r="E28" s="84">
        <f t="shared" ref="E28:S28" si="6">E21+E25</f>
        <v>7002.5332701500538</v>
      </c>
      <c r="F28" s="84">
        <f t="shared" si="6"/>
        <v>1938.2186721082458</v>
      </c>
      <c r="G28" s="84">
        <f t="shared" si="6"/>
        <v>2320.1357899128543</v>
      </c>
      <c r="H28" s="84">
        <f t="shared" si="6"/>
        <v>539.46615760625878</v>
      </c>
      <c r="I28" s="84">
        <f t="shared" si="6"/>
        <v>3244.9466308841088</v>
      </c>
      <c r="J28" s="84">
        <f t="shared" si="6"/>
        <v>49.039560318286313</v>
      </c>
      <c r="K28" s="84">
        <f t="shared" si="6"/>
        <v>39.676509049596348</v>
      </c>
      <c r="L28" s="84">
        <f t="shared" si="6"/>
        <v>2.492564085862456</v>
      </c>
      <c r="M28" s="84">
        <f>M21+M25</f>
        <v>103.6482167002299</v>
      </c>
      <c r="N28" s="84"/>
      <c r="O28" s="84"/>
      <c r="P28" s="84">
        <f t="shared" si="6"/>
        <v>1218.750195096929</v>
      </c>
      <c r="Q28" s="84">
        <f t="shared" si="6"/>
        <v>56.675987193036534</v>
      </c>
      <c r="R28" s="84">
        <f t="shared" si="6"/>
        <v>48.996029959762183</v>
      </c>
      <c r="S28" s="84">
        <f t="shared" si="6"/>
        <v>185.07994188434839</v>
      </c>
      <c r="T28" s="84"/>
      <c r="U28" s="84"/>
      <c r="V28" s="82">
        <f>SUM(D28:U28)</f>
        <v>17683.000044672812</v>
      </c>
      <c r="W28" s="17"/>
      <c r="Y28" s="17"/>
      <c r="Z28" s="17"/>
      <c r="AA28" s="17"/>
      <c r="AB28" s="17"/>
      <c r="AC28" s="17"/>
      <c r="AD28" s="17"/>
      <c r="AE28" s="17"/>
      <c r="AF28" s="17"/>
      <c r="AM28" s="218"/>
      <c r="AN28" s="17"/>
      <c r="AO28" s="17"/>
      <c r="AP28" s="17"/>
      <c r="AQ28" s="17"/>
      <c r="AR28" s="85"/>
      <c r="AS28" s="85"/>
      <c r="AT28" s="85"/>
      <c r="AU28" s="85"/>
      <c r="AV28" s="85"/>
      <c r="AW28" s="85"/>
      <c r="AX28" s="85"/>
      <c r="AY28" s="85"/>
      <c r="AZ28" s="85"/>
    </row>
    <row r="29" spans="2:52" ht="43.8" customHeight="1" x14ac:dyDescent="0.3">
      <c r="B29" s="17"/>
      <c r="C29" s="20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Y29" s="17"/>
      <c r="Z29" s="17"/>
      <c r="AA29" s="17"/>
      <c r="AB29" s="17"/>
      <c r="AC29" s="17"/>
      <c r="AD29" s="17"/>
      <c r="AE29" s="17"/>
      <c r="AF29" s="17"/>
      <c r="AM29" s="218"/>
      <c r="AN29" s="17"/>
      <c r="AO29" s="17"/>
      <c r="AP29" s="17"/>
      <c r="AQ29" s="17"/>
      <c r="AR29" s="85"/>
      <c r="AS29" s="85"/>
      <c r="AT29" s="85"/>
      <c r="AU29" s="85"/>
      <c r="AV29" s="85"/>
      <c r="AW29" s="85"/>
      <c r="AX29" s="85"/>
      <c r="AY29" s="85"/>
      <c r="AZ29" s="85"/>
    </row>
    <row r="30" spans="2:52" ht="19.95" customHeight="1" x14ac:dyDescent="0.3">
      <c r="B30" s="17"/>
      <c r="C30" s="20"/>
      <c r="D30" s="198"/>
      <c r="E30" s="198"/>
      <c r="F30" s="198"/>
      <c r="G30" s="198"/>
      <c r="H30" s="198"/>
      <c r="I30" s="198"/>
      <c r="J30" s="198"/>
      <c r="K30" s="198"/>
      <c r="L30" s="17"/>
      <c r="M30" s="17"/>
      <c r="N30" s="17"/>
      <c r="O30" s="200"/>
      <c r="P30" s="200"/>
      <c r="Q30" s="200"/>
      <c r="R30" s="17"/>
      <c r="S30" s="17"/>
      <c r="T30" s="17"/>
      <c r="U30" s="17"/>
      <c r="V30" s="17"/>
      <c r="W30" s="17"/>
      <c r="X30" s="76"/>
      <c r="Y30" s="17"/>
      <c r="Z30" s="17"/>
      <c r="AA30" s="17"/>
      <c r="AB30" s="17"/>
      <c r="AC30" s="17"/>
      <c r="AD30" s="17"/>
      <c r="AE30" s="17"/>
      <c r="AF30" s="17"/>
      <c r="AM30" s="60"/>
      <c r="AN30" s="17"/>
      <c r="AO30" s="17"/>
      <c r="AP30" s="17"/>
      <c r="AQ30" s="17"/>
      <c r="AR30" s="85"/>
      <c r="AS30" s="85"/>
      <c r="AT30" s="85"/>
      <c r="AU30" s="85"/>
      <c r="AV30" s="85"/>
      <c r="AW30" s="85"/>
      <c r="AX30" s="85"/>
      <c r="AY30" s="85"/>
      <c r="AZ30" s="85"/>
    </row>
    <row r="31" spans="2:52" ht="19.95" customHeight="1" x14ac:dyDescent="0.3">
      <c r="B31" s="29" t="s">
        <v>147</v>
      </c>
      <c r="C31" s="29"/>
      <c r="D31" s="29"/>
      <c r="E31" s="29"/>
      <c r="F31" s="29"/>
      <c r="G31" s="29"/>
      <c r="H31" s="29"/>
      <c r="I31" s="29"/>
      <c r="J31" s="200"/>
      <c r="K31" s="200"/>
      <c r="L31" s="17"/>
      <c r="M31" s="17"/>
      <c r="N31" s="17"/>
      <c r="O31" s="202"/>
      <c r="P31" s="202"/>
      <c r="Q31" s="214"/>
      <c r="R31" s="17"/>
      <c r="S31" s="17"/>
      <c r="T31" s="17"/>
      <c r="U31" s="17"/>
      <c r="V31" s="17"/>
      <c r="W31" s="17"/>
      <c r="Y31" s="215" t="s">
        <v>120</v>
      </c>
      <c r="Z31" s="215"/>
      <c r="AA31" s="215"/>
      <c r="AB31" s="215"/>
      <c r="AC31" s="215"/>
      <c r="AD31" s="215"/>
      <c r="AE31" s="17"/>
      <c r="AF31" s="17"/>
      <c r="AM31" s="86"/>
      <c r="AN31" s="86"/>
      <c r="AO31" s="86"/>
      <c r="AP31" s="86"/>
      <c r="AQ31" s="86"/>
      <c r="AR31" s="87"/>
      <c r="AS31" s="87"/>
      <c r="AT31" s="87"/>
      <c r="AU31" s="87"/>
      <c r="AV31" s="87"/>
      <c r="AW31" s="87"/>
      <c r="AX31" s="87"/>
      <c r="AY31" s="87"/>
      <c r="AZ31" s="87"/>
    </row>
    <row r="32" spans="2:52" ht="19.95" customHeight="1" x14ac:dyDescent="0.3">
      <c r="B32" s="216"/>
      <c r="C32" s="216"/>
      <c r="D32" s="217"/>
      <c r="E32" s="217"/>
      <c r="F32" s="200"/>
      <c r="G32" s="200"/>
      <c r="H32" s="200"/>
      <c r="I32" s="200"/>
      <c r="J32" s="200"/>
      <c r="K32" s="200"/>
      <c r="L32" s="17"/>
      <c r="M32" s="17"/>
      <c r="N32" s="17"/>
      <c r="O32" s="202"/>
      <c r="P32" s="202"/>
      <c r="Q32" s="214"/>
      <c r="R32" s="17"/>
      <c r="S32" s="17"/>
      <c r="T32" s="17"/>
      <c r="U32" s="17"/>
      <c r="V32" s="17"/>
      <c r="W32" s="17"/>
      <c r="Y32" s="88" t="s">
        <v>148</v>
      </c>
      <c r="Z32" s="89" t="s">
        <v>16</v>
      </c>
      <c r="AA32" s="89" t="s">
        <v>17</v>
      </c>
      <c r="AB32" s="89" t="s">
        <v>18</v>
      </c>
      <c r="AC32" s="89" t="s">
        <v>149</v>
      </c>
      <c r="AD32" s="90" t="s">
        <v>20</v>
      </c>
      <c r="AE32" s="17"/>
      <c r="AF32" s="17"/>
      <c r="AM32" s="68"/>
      <c r="AN32" s="17"/>
      <c r="AO32" s="17"/>
      <c r="AP32" s="17"/>
      <c r="AQ32" s="17"/>
      <c r="AR32" s="85"/>
      <c r="AS32" s="85"/>
      <c r="AT32" s="85"/>
      <c r="AU32" s="85"/>
      <c r="AV32" s="85"/>
      <c r="AW32" s="85"/>
      <c r="AX32" s="85"/>
      <c r="AY32" s="85"/>
      <c r="AZ32" s="85"/>
    </row>
    <row r="33" spans="2:52" ht="19.95" hidden="1" customHeight="1" x14ac:dyDescent="0.3">
      <c r="B33" s="191"/>
      <c r="C33" s="191"/>
      <c r="D33" s="213"/>
      <c r="E33" s="213"/>
      <c r="F33" s="213"/>
      <c r="G33" s="213"/>
      <c r="H33" s="213"/>
      <c r="I33" s="213"/>
      <c r="J33" s="191"/>
      <c r="K33" s="191"/>
      <c r="Y33" s="18" t="s">
        <v>131</v>
      </c>
      <c r="Z33" s="20" t="s">
        <v>134</v>
      </c>
      <c r="AA33" s="20" t="s">
        <v>135</v>
      </c>
      <c r="AB33" s="20" t="s">
        <v>136</v>
      </c>
      <c r="AC33" s="20" t="s">
        <v>137</v>
      </c>
      <c r="AD33" s="20"/>
      <c r="AE33" s="17"/>
      <c r="AF33" s="17"/>
      <c r="AM33" s="66"/>
      <c r="AN33" s="17"/>
      <c r="AO33" s="17"/>
      <c r="AP33" s="17"/>
      <c r="AQ33" s="17"/>
      <c r="AR33" s="85"/>
      <c r="AS33" s="85"/>
      <c r="AT33" s="85"/>
      <c r="AU33" s="85"/>
      <c r="AV33" s="85"/>
      <c r="AW33" s="85"/>
      <c r="AX33" s="85"/>
      <c r="AY33" s="85"/>
      <c r="AZ33" s="85"/>
    </row>
    <row r="34" spans="2:52" ht="19.95" customHeight="1" x14ac:dyDescent="0.3">
      <c r="Y34" s="205" t="s">
        <v>150</v>
      </c>
      <c r="Z34" s="205"/>
      <c r="AA34" s="205"/>
      <c r="AB34" s="205"/>
      <c r="AC34" s="205"/>
      <c r="AD34" s="205"/>
      <c r="AE34" s="17"/>
      <c r="AF34" s="17"/>
      <c r="AM34" s="86"/>
      <c r="AN34" s="86"/>
      <c r="AO34" s="86"/>
      <c r="AP34" s="86"/>
      <c r="AQ34" s="86"/>
      <c r="AR34" s="87"/>
      <c r="AS34" s="87"/>
      <c r="AT34" s="87"/>
      <c r="AU34" s="87"/>
      <c r="AV34" s="87"/>
      <c r="AW34" s="87"/>
      <c r="AX34" s="87"/>
      <c r="AY34" s="87"/>
      <c r="AZ34" s="87"/>
    </row>
    <row r="35" spans="2:52" ht="19.95" customHeight="1" x14ac:dyDescent="0.3"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N35" s="191"/>
      <c r="O35" s="191"/>
      <c r="P35" s="191"/>
      <c r="Q35" s="191"/>
      <c r="R35" s="191"/>
      <c r="S35" s="191"/>
      <c r="T35" s="191"/>
      <c r="U35" s="191"/>
      <c r="V35" s="191"/>
      <c r="Y35" s="18" t="s">
        <v>76</v>
      </c>
      <c r="Z35" s="71">
        <v>542.14000502121371</v>
      </c>
      <c r="AA35" s="71">
        <v>15.102171922179799</v>
      </c>
      <c r="AB35" s="71">
        <v>23.072762658885804</v>
      </c>
      <c r="AC35" s="71">
        <v>86.278148851712373</v>
      </c>
      <c r="AD35" s="68">
        <f>SUM(Z35:AC35)</f>
        <v>666.59308845399164</v>
      </c>
      <c r="AE35" s="17"/>
      <c r="AF35" s="17"/>
      <c r="AM35" s="17"/>
      <c r="AN35" s="17"/>
      <c r="AO35" s="17"/>
      <c r="AP35" s="17"/>
      <c r="AQ35" s="17"/>
      <c r="AR35" s="85"/>
      <c r="AS35" s="85"/>
      <c r="AT35" s="85"/>
      <c r="AU35" s="85"/>
      <c r="AV35" s="85"/>
      <c r="AW35" s="85"/>
      <c r="AX35" s="85"/>
      <c r="AY35" s="85"/>
      <c r="AZ35" s="85"/>
    </row>
    <row r="36" spans="2:52" ht="19.95" customHeight="1" x14ac:dyDescent="0.3"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N36" s="191"/>
      <c r="O36" s="191"/>
      <c r="P36" s="191"/>
      <c r="Q36" s="191"/>
      <c r="R36" s="191"/>
      <c r="S36" s="191"/>
      <c r="T36" s="191"/>
      <c r="U36" s="191"/>
      <c r="V36" s="191"/>
      <c r="Y36" s="20"/>
      <c r="Z36" s="75">
        <f>Z35/$V$23</f>
        <v>9.6615758384191487E-3</v>
      </c>
      <c r="AA36" s="75">
        <f>AA35/$V$23</f>
        <v>2.6913855830520197E-4</v>
      </c>
      <c r="AB36" s="75">
        <f>AB35/$V$23</f>
        <v>4.1118390852183635E-4</v>
      </c>
      <c r="AC36" s="75">
        <f>AC35/$V$23</f>
        <v>1.5375786155028669E-3</v>
      </c>
      <c r="AD36" s="74">
        <f>SUM(Z36:AC36)</f>
        <v>1.1879476920749055E-2</v>
      </c>
      <c r="AE36" s="17"/>
      <c r="AF36" s="17"/>
      <c r="AM36" s="17"/>
      <c r="AN36" s="17"/>
      <c r="AO36" s="17"/>
      <c r="AP36" s="17"/>
      <c r="AQ36" s="17"/>
      <c r="AR36" s="85"/>
      <c r="AS36" s="85"/>
      <c r="AT36" s="85"/>
      <c r="AU36" s="85"/>
      <c r="AV36" s="85"/>
      <c r="AW36" s="85"/>
      <c r="AX36" s="85"/>
      <c r="AY36" s="85"/>
      <c r="AZ36" s="85"/>
    </row>
    <row r="37" spans="2:52" x14ac:dyDescent="0.3"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N37" s="191"/>
      <c r="O37" s="191"/>
      <c r="P37" s="191"/>
      <c r="Q37" s="191"/>
      <c r="R37" s="191"/>
      <c r="S37" s="191"/>
      <c r="T37" s="191"/>
      <c r="U37" s="191"/>
      <c r="V37" s="191"/>
      <c r="Y37" s="205" t="s">
        <v>151</v>
      </c>
      <c r="Z37" s="205"/>
      <c r="AA37" s="205"/>
      <c r="AB37" s="205"/>
      <c r="AC37" s="205"/>
      <c r="AD37" s="205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85"/>
      <c r="AS37" s="85"/>
      <c r="AT37" s="85"/>
      <c r="AU37" s="85"/>
      <c r="AV37" s="85"/>
      <c r="AW37" s="85"/>
      <c r="AX37" s="85"/>
      <c r="AY37" s="85"/>
      <c r="AZ37" s="85"/>
    </row>
    <row r="38" spans="2:52" x14ac:dyDescent="0.3">
      <c r="B38" s="191"/>
      <c r="C38" s="191"/>
      <c r="D38" s="191"/>
      <c r="E38" s="191"/>
      <c r="F38" s="191"/>
      <c r="G38" s="191"/>
      <c r="H38" s="191"/>
      <c r="I38" s="191"/>
      <c r="J38" s="191"/>
      <c r="K38" s="191"/>
      <c r="N38" s="191"/>
      <c r="O38" s="191"/>
      <c r="P38" s="191"/>
      <c r="Q38" s="191"/>
      <c r="R38" s="191"/>
      <c r="S38" s="191"/>
      <c r="T38" s="191"/>
      <c r="U38" s="191"/>
      <c r="V38" s="191"/>
      <c r="Y38" s="18" t="s">
        <v>76</v>
      </c>
      <c r="Z38" s="91">
        <v>676.58350135575756</v>
      </c>
      <c r="AA38" s="91">
        <v>41.573203095353776</v>
      </c>
      <c r="AB38" s="91">
        <v>25.92211487122059</v>
      </c>
      <c r="AC38" s="91">
        <v>98.797494414840756</v>
      </c>
      <c r="AD38" s="77">
        <f>SUM(Z38:AC38)</f>
        <v>842.87631373717272</v>
      </c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</row>
    <row r="39" spans="2:52" x14ac:dyDescent="0.3"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N39" s="191"/>
      <c r="O39" s="191"/>
      <c r="P39" s="191"/>
      <c r="Q39" s="191"/>
      <c r="R39" s="191"/>
      <c r="S39" s="191"/>
      <c r="T39" s="191"/>
      <c r="U39" s="191"/>
      <c r="V39" s="191"/>
      <c r="Y39" s="18" t="s">
        <v>152</v>
      </c>
      <c r="Z39" s="92">
        <f>SUM($Z$35,Z38)</f>
        <v>1218.7235063769713</v>
      </c>
      <c r="AA39" s="92">
        <f>SUM(AA35,AA38)</f>
        <v>56.675375017533575</v>
      </c>
      <c r="AB39" s="92">
        <f>SUM(AB35,AB38)</f>
        <v>48.994877530106393</v>
      </c>
      <c r="AC39" s="92">
        <f>SUM(AC35,AC38)</f>
        <v>185.07564326655313</v>
      </c>
      <c r="AD39" s="92">
        <f>SUM(Z39:AC39)</f>
        <v>1509.4694021911641</v>
      </c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</row>
    <row r="40" spans="2:52" x14ac:dyDescent="0.3"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N40" s="191"/>
      <c r="O40" s="191"/>
      <c r="P40" s="191"/>
      <c r="Q40" s="191"/>
      <c r="R40" s="191"/>
      <c r="S40" s="191"/>
      <c r="T40" s="191"/>
      <c r="U40" s="191"/>
      <c r="V40" s="191"/>
    </row>
    <row r="41" spans="2:52" x14ac:dyDescent="0.3"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N41" s="191"/>
      <c r="O41" s="191"/>
      <c r="P41" s="191"/>
      <c r="Q41" s="191"/>
      <c r="R41" s="191"/>
      <c r="S41" s="191"/>
      <c r="T41" s="191"/>
      <c r="U41" s="191"/>
      <c r="V41" s="191"/>
    </row>
    <row r="42" spans="2:52" x14ac:dyDescent="0.3"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N42" s="191"/>
      <c r="O42" s="191"/>
      <c r="P42" s="191"/>
      <c r="Q42" s="191"/>
      <c r="R42" s="191"/>
      <c r="S42" s="191"/>
      <c r="T42" s="191"/>
      <c r="U42" s="191"/>
      <c r="V42" s="191"/>
    </row>
    <row r="43" spans="2:52" x14ac:dyDescent="0.3">
      <c r="B43" s="191"/>
      <c r="C43" s="191"/>
      <c r="D43" s="191"/>
      <c r="E43" s="191"/>
      <c r="F43" s="191"/>
      <c r="G43" s="191"/>
      <c r="H43" s="191"/>
      <c r="I43" s="191"/>
      <c r="J43" s="191"/>
      <c r="K43" s="191"/>
      <c r="N43" s="191"/>
      <c r="O43" s="191"/>
      <c r="P43" s="191"/>
      <c r="Q43" s="191"/>
      <c r="R43" s="191"/>
      <c r="S43" s="191"/>
      <c r="T43" s="191"/>
      <c r="U43" s="191"/>
      <c r="V43" s="191"/>
    </row>
    <row r="44" spans="2:52" x14ac:dyDescent="0.3"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N44" s="191"/>
      <c r="O44" s="191"/>
      <c r="P44" s="191"/>
      <c r="Q44" s="191"/>
      <c r="R44" s="191"/>
      <c r="S44" s="191"/>
      <c r="T44" s="191"/>
      <c r="U44" s="191"/>
      <c r="V44" s="191"/>
    </row>
    <row r="45" spans="2:52" x14ac:dyDescent="0.3"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N45" s="191"/>
      <c r="O45" s="191"/>
      <c r="P45" s="191"/>
      <c r="Q45" s="191"/>
      <c r="R45" s="191"/>
      <c r="S45" s="191"/>
      <c r="T45" s="191"/>
      <c r="U45" s="191"/>
      <c r="V45" s="191"/>
    </row>
    <row r="46" spans="2:52" x14ac:dyDescent="0.3">
      <c r="B46" s="191"/>
      <c r="C46" s="191"/>
      <c r="D46" s="191"/>
      <c r="E46" s="191"/>
      <c r="F46" s="191"/>
      <c r="G46" s="191"/>
      <c r="H46" s="191"/>
      <c r="I46" s="191"/>
      <c r="J46" s="191"/>
      <c r="K46" s="191"/>
      <c r="N46" s="191"/>
      <c r="O46" s="191"/>
      <c r="P46" s="191"/>
      <c r="Q46" s="191"/>
      <c r="R46" s="191"/>
      <c r="S46" s="191"/>
      <c r="T46" s="191"/>
      <c r="U46" s="191"/>
      <c r="V46" s="191"/>
    </row>
    <row r="47" spans="2:52" x14ac:dyDescent="0.3">
      <c r="B47" s="191"/>
      <c r="C47" s="191"/>
      <c r="D47" s="191"/>
      <c r="E47" s="191"/>
      <c r="F47" s="191"/>
      <c r="G47" s="191"/>
      <c r="H47" s="191"/>
      <c r="I47" s="191"/>
      <c r="J47" s="191"/>
      <c r="K47" s="191"/>
      <c r="N47" s="191"/>
      <c r="O47" s="191"/>
      <c r="P47" s="191"/>
      <c r="Q47" s="191"/>
      <c r="R47" s="191"/>
      <c r="S47" s="191"/>
      <c r="T47" s="191"/>
      <c r="U47" s="191"/>
      <c r="V47" s="191"/>
    </row>
    <row r="48" spans="2:52" x14ac:dyDescent="0.3">
      <c r="B48" s="191"/>
      <c r="C48" s="191"/>
      <c r="D48" s="191"/>
      <c r="E48" s="191"/>
      <c r="F48" s="191"/>
      <c r="G48" s="191"/>
      <c r="H48" s="191"/>
      <c r="I48" s="191"/>
      <c r="J48" s="191"/>
      <c r="K48" s="191"/>
      <c r="N48" s="191"/>
      <c r="O48" s="191"/>
      <c r="P48" s="191"/>
      <c r="Q48" s="191"/>
      <c r="R48" s="191"/>
      <c r="S48" s="191"/>
      <c r="T48" s="191"/>
      <c r="U48" s="191"/>
      <c r="V48" s="191"/>
    </row>
    <row r="49" spans="2:22" x14ac:dyDescent="0.3"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N49" s="191"/>
      <c r="O49" s="191"/>
      <c r="P49" s="191"/>
      <c r="Q49" s="191"/>
      <c r="R49" s="191"/>
      <c r="S49" s="191"/>
      <c r="T49" s="191"/>
      <c r="U49" s="191"/>
      <c r="V49" s="191"/>
    </row>
    <row r="50" spans="2:22" x14ac:dyDescent="0.3">
      <c r="B50" s="191"/>
      <c r="C50" s="191"/>
      <c r="D50" s="191"/>
      <c r="E50" s="191"/>
      <c r="F50" s="191"/>
      <c r="G50" s="191"/>
      <c r="H50" s="191"/>
      <c r="I50" s="191"/>
      <c r="J50" s="191"/>
      <c r="K50" s="191"/>
      <c r="N50" s="191"/>
      <c r="O50" s="191"/>
      <c r="P50" s="191"/>
      <c r="Q50" s="191"/>
      <c r="R50" s="191"/>
      <c r="S50" s="191"/>
      <c r="T50" s="191"/>
      <c r="U50" s="191"/>
      <c r="V50" s="191"/>
    </row>
    <row r="51" spans="2:22" x14ac:dyDescent="0.3">
      <c r="B51" s="191"/>
      <c r="C51" s="191"/>
      <c r="D51" s="191"/>
      <c r="E51" s="191"/>
      <c r="F51" s="191"/>
      <c r="G51" s="191"/>
      <c r="H51" s="191"/>
      <c r="I51" s="191"/>
      <c r="J51" s="191"/>
      <c r="K51" s="191"/>
      <c r="N51" s="191"/>
      <c r="O51" s="191"/>
      <c r="P51" s="191"/>
      <c r="Q51" s="191"/>
      <c r="R51" s="191"/>
      <c r="S51" s="191"/>
      <c r="T51" s="191"/>
      <c r="U51" s="191"/>
      <c r="V51" s="191"/>
    </row>
    <row r="52" spans="2:22" x14ac:dyDescent="0.3"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N52" s="191"/>
      <c r="O52" s="191"/>
      <c r="P52" s="191"/>
      <c r="Q52" s="191"/>
      <c r="R52" s="191"/>
      <c r="S52" s="191"/>
      <c r="T52" s="191"/>
      <c r="U52" s="191"/>
      <c r="V52" s="191"/>
    </row>
    <row r="53" spans="2:22" x14ac:dyDescent="0.3"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N53" s="191"/>
      <c r="O53" s="191"/>
      <c r="P53" s="191"/>
      <c r="Q53" s="191"/>
      <c r="R53" s="191"/>
      <c r="S53" s="191"/>
      <c r="T53" s="191"/>
      <c r="U53" s="191"/>
      <c r="V53" s="191"/>
    </row>
    <row r="54" spans="2:22" x14ac:dyDescent="0.3">
      <c r="B54" s="191"/>
      <c r="C54" s="191"/>
      <c r="D54" s="191"/>
      <c r="E54" s="191"/>
      <c r="F54" s="191"/>
      <c r="G54" s="191"/>
      <c r="H54" s="191"/>
      <c r="I54" s="191"/>
      <c r="J54" s="191"/>
      <c r="K54" s="191"/>
      <c r="N54" s="191"/>
      <c r="O54" s="191"/>
      <c r="P54" s="191"/>
      <c r="Q54" s="191"/>
      <c r="R54" s="191"/>
      <c r="S54" s="191"/>
      <c r="T54" s="191"/>
      <c r="U54" s="191"/>
      <c r="V54" s="191"/>
    </row>
    <row r="55" spans="2:22" x14ac:dyDescent="0.3">
      <c r="B55" s="191"/>
      <c r="C55" s="191"/>
      <c r="D55" s="191"/>
      <c r="E55" s="191"/>
      <c r="F55" s="191"/>
      <c r="G55" s="191"/>
      <c r="H55" s="191"/>
      <c r="I55" s="191"/>
      <c r="J55" s="191"/>
      <c r="K55" s="191"/>
      <c r="N55" s="191"/>
      <c r="O55" s="191"/>
      <c r="P55" s="191"/>
      <c r="Q55" s="191"/>
      <c r="R55" s="191"/>
      <c r="S55" s="191"/>
      <c r="T55" s="191"/>
      <c r="U55" s="191"/>
      <c r="V55" s="191"/>
    </row>
    <row r="56" spans="2:22" x14ac:dyDescent="0.3">
      <c r="B56" s="191"/>
      <c r="C56" s="191"/>
      <c r="D56" s="191"/>
      <c r="E56" s="191"/>
      <c r="F56" s="191"/>
      <c r="G56" s="191"/>
      <c r="H56" s="191"/>
      <c r="I56" s="191"/>
      <c r="J56" s="191"/>
      <c r="K56" s="191"/>
      <c r="N56" s="191"/>
      <c r="O56" s="191"/>
      <c r="P56" s="191"/>
      <c r="Q56" s="191"/>
      <c r="R56" s="191"/>
      <c r="S56" s="191"/>
      <c r="T56" s="191"/>
      <c r="U56" s="191"/>
      <c r="V56" s="191"/>
    </row>
    <row r="57" spans="2:22" x14ac:dyDescent="0.3">
      <c r="B57" s="191"/>
      <c r="C57" s="191"/>
      <c r="D57" s="191"/>
      <c r="E57" s="191"/>
      <c r="F57" s="191"/>
      <c r="G57" s="191"/>
      <c r="H57" s="191"/>
      <c r="I57" s="191"/>
      <c r="J57" s="191"/>
      <c r="K57" s="191"/>
      <c r="N57" s="191"/>
      <c r="O57" s="191"/>
      <c r="P57" s="191"/>
      <c r="Q57" s="191"/>
      <c r="R57" s="191"/>
      <c r="S57" s="191"/>
      <c r="T57" s="191"/>
      <c r="U57" s="191"/>
      <c r="V57" s="191"/>
    </row>
    <row r="58" spans="2:22" x14ac:dyDescent="0.3">
      <c r="B58" s="191"/>
      <c r="C58" s="191"/>
      <c r="D58" s="191"/>
      <c r="E58" s="191"/>
      <c r="F58" s="191"/>
      <c r="G58" s="191"/>
      <c r="H58" s="191"/>
      <c r="I58" s="191"/>
      <c r="J58" s="191"/>
      <c r="K58" s="191"/>
      <c r="N58" s="191"/>
      <c r="O58" s="191"/>
      <c r="P58" s="191"/>
      <c r="Q58" s="191"/>
      <c r="R58" s="191"/>
      <c r="S58" s="191"/>
      <c r="T58" s="191"/>
      <c r="U58" s="191"/>
      <c r="V58" s="191"/>
    </row>
    <row r="59" spans="2:22" x14ac:dyDescent="0.3">
      <c r="B59" s="191"/>
      <c r="C59" s="191"/>
      <c r="D59" s="191"/>
      <c r="E59" s="191"/>
      <c r="F59" s="191"/>
      <c r="G59" s="191"/>
      <c r="H59" s="191"/>
      <c r="I59" s="191"/>
      <c r="J59" s="191"/>
      <c r="K59" s="191"/>
      <c r="N59" s="191"/>
      <c r="O59" s="191"/>
      <c r="P59" s="191"/>
      <c r="Q59" s="191"/>
      <c r="R59" s="191"/>
      <c r="S59" s="191"/>
      <c r="T59" s="191"/>
      <c r="U59" s="191"/>
      <c r="V59" s="191"/>
    </row>
  </sheetData>
  <mergeCells count="67">
    <mergeCell ref="B3:I3"/>
    <mergeCell ref="B4:G4"/>
    <mergeCell ref="N6:R9"/>
    <mergeCell ref="S6:V9"/>
    <mergeCell ref="B7:C8"/>
    <mergeCell ref="D7:E8"/>
    <mergeCell ref="F7:F8"/>
    <mergeCell ref="B9:C9"/>
    <mergeCell ref="D9:E9"/>
    <mergeCell ref="F9:F10"/>
    <mergeCell ref="B10:C10"/>
    <mergeCell ref="D10:E10"/>
    <mergeCell ref="B11:C11"/>
    <mergeCell ref="D11:E11"/>
    <mergeCell ref="B13:I13"/>
    <mergeCell ref="AL16:AP16"/>
    <mergeCell ref="AQ16:AQ17"/>
    <mergeCell ref="B18:C18"/>
    <mergeCell ref="Y18:Z18"/>
    <mergeCell ref="B19:C19"/>
    <mergeCell ref="Y19:AQ19"/>
    <mergeCell ref="K16:L16"/>
    <mergeCell ref="P16:S16"/>
    <mergeCell ref="V16:V17"/>
    <mergeCell ref="Y16:Z17"/>
    <mergeCell ref="AA16:AG16"/>
    <mergeCell ref="AH16:AI16"/>
    <mergeCell ref="B16:C17"/>
    <mergeCell ref="D16:J16"/>
    <mergeCell ref="B26:V26"/>
    <mergeCell ref="B20:C20"/>
    <mergeCell ref="Y20:Z20"/>
    <mergeCell ref="B21:C21"/>
    <mergeCell ref="Y21:Z21"/>
    <mergeCell ref="B22:V22"/>
    <mergeCell ref="Y22:AQ22"/>
    <mergeCell ref="B23:C23"/>
    <mergeCell ref="Y23:Z23"/>
    <mergeCell ref="B24:C24"/>
    <mergeCell ref="Y24:Z24"/>
    <mergeCell ref="B25:C25"/>
    <mergeCell ref="B27:C27"/>
    <mergeCell ref="B28:C28"/>
    <mergeCell ref="AM28:AM29"/>
    <mergeCell ref="D30:E30"/>
    <mergeCell ref="F30:G30"/>
    <mergeCell ref="H30:I30"/>
    <mergeCell ref="J30:K30"/>
    <mergeCell ref="O30:Q30"/>
    <mergeCell ref="J31:K31"/>
    <mergeCell ref="O31:P32"/>
    <mergeCell ref="Q31:Q32"/>
    <mergeCell ref="Y31:AD31"/>
    <mergeCell ref="B32:C32"/>
    <mergeCell ref="D32:E32"/>
    <mergeCell ref="F32:G32"/>
    <mergeCell ref="H32:I32"/>
    <mergeCell ref="J32:K32"/>
    <mergeCell ref="B35:K59"/>
    <mergeCell ref="N35:V59"/>
    <mergeCell ref="Y37:AD37"/>
    <mergeCell ref="B33:C33"/>
    <mergeCell ref="D33:E33"/>
    <mergeCell ref="F33:G33"/>
    <mergeCell ref="H33:I33"/>
    <mergeCell ref="J33:K33"/>
    <mergeCell ref="Y34:AD3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9F986-732F-41DF-9E99-D07E1C05A140}">
  <dimension ref="A3:W138"/>
  <sheetViews>
    <sheetView showGridLines="0" zoomScale="70" zoomScaleNormal="70" workbookViewId="0"/>
  </sheetViews>
  <sheetFormatPr baseColWidth="10" defaultColWidth="11.5546875" defaultRowHeight="14.4" x14ac:dyDescent="0.3"/>
  <cols>
    <col min="2" max="2" width="14.44140625" bestFit="1" customWidth="1"/>
    <col min="3" max="3" width="16.6640625" customWidth="1"/>
    <col min="4" max="4" width="14.44140625" customWidth="1"/>
    <col min="5" max="5" width="15.44140625" customWidth="1"/>
    <col min="6" max="6" width="13" customWidth="1"/>
    <col min="7" max="7" width="14.44140625" bestFit="1" customWidth="1"/>
    <col min="8" max="8" width="15.33203125" bestFit="1" customWidth="1"/>
    <col min="9" max="9" width="24.44140625" customWidth="1"/>
    <col min="10" max="10" width="16.109375" customWidth="1"/>
    <col min="11" max="11" width="13" customWidth="1"/>
    <col min="13" max="13" width="14.88671875" customWidth="1"/>
    <col min="14" max="14" width="14" customWidth="1"/>
    <col min="15" max="15" width="13.5546875" customWidth="1"/>
    <col min="16" max="16" width="15.109375" customWidth="1"/>
    <col min="17" max="17" width="14.88671875" customWidth="1"/>
    <col min="18" max="18" width="15.88671875" customWidth="1"/>
    <col min="19" max="19" width="13" customWidth="1"/>
    <col min="20" max="20" width="14.33203125" customWidth="1"/>
    <col min="21" max="21" width="13.33203125" customWidth="1"/>
    <col min="22" max="22" width="18.109375" customWidth="1"/>
    <col min="23" max="23" width="21.88671875" customWidth="1"/>
  </cols>
  <sheetData>
    <row r="3" spans="1:23" ht="48.6" customHeight="1" x14ac:dyDescent="0.3">
      <c r="A3" s="243" t="s">
        <v>153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  <c r="V3" s="243"/>
      <c r="W3" s="243"/>
    </row>
    <row r="4" spans="1:23" x14ac:dyDescent="0.3">
      <c r="A4" s="1"/>
    </row>
    <row r="5" spans="1:23" x14ac:dyDescent="0.3">
      <c r="A5" s="1"/>
      <c r="B5" s="244" t="s">
        <v>154</v>
      </c>
      <c r="C5" s="244"/>
      <c r="D5" s="244"/>
      <c r="E5" s="244"/>
      <c r="F5" s="244"/>
      <c r="G5" s="244"/>
      <c r="H5" s="244"/>
      <c r="I5" s="245"/>
      <c r="J5" s="245"/>
    </row>
    <row r="6" spans="1:23" ht="18" x14ac:dyDescent="0.3">
      <c r="B6" s="93" t="s">
        <v>155</v>
      </c>
      <c r="C6" s="93"/>
      <c r="D6" s="93"/>
      <c r="E6" s="93"/>
      <c r="F6" s="93"/>
      <c r="G6" s="93"/>
      <c r="H6" s="93"/>
      <c r="I6" s="246" t="s">
        <v>156</v>
      </c>
      <c r="J6" s="247"/>
      <c r="O6" s="94"/>
      <c r="P6" s="94"/>
      <c r="Q6" s="94"/>
      <c r="R6" s="94"/>
      <c r="S6" s="94"/>
      <c r="T6" s="94"/>
      <c r="U6" s="94"/>
      <c r="V6" s="246" t="s">
        <v>157</v>
      </c>
      <c r="W6" s="246"/>
    </row>
    <row r="7" spans="1:23" ht="18" x14ac:dyDescent="0.3">
      <c r="B7" s="95"/>
      <c r="C7" s="95"/>
      <c r="D7" s="95"/>
      <c r="E7" s="95"/>
      <c r="F7" s="95"/>
      <c r="G7" s="95"/>
      <c r="H7" s="95"/>
      <c r="I7" s="96"/>
      <c r="J7" s="96"/>
      <c r="O7" s="97"/>
      <c r="P7" s="97"/>
      <c r="Q7" s="97"/>
      <c r="R7" s="97"/>
      <c r="S7" s="97"/>
      <c r="T7" s="97"/>
      <c r="U7" s="97"/>
      <c r="V7" s="96"/>
      <c r="W7" s="96"/>
    </row>
    <row r="8" spans="1:23" ht="15" customHeight="1" x14ac:dyDescent="0.3">
      <c r="A8" s="85"/>
      <c r="B8" s="248" t="s">
        <v>158</v>
      </c>
      <c r="C8" s="249"/>
      <c r="D8" s="249"/>
      <c r="E8" s="249"/>
      <c r="F8" s="98"/>
      <c r="G8" s="85"/>
      <c r="H8" s="85"/>
      <c r="I8" s="248" t="s">
        <v>159</v>
      </c>
      <c r="J8" s="248"/>
      <c r="N8" s="85"/>
      <c r="O8" s="248"/>
      <c r="P8" s="248"/>
      <c r="Q8" s="248"/>
      <c r="R8" s="248"/>
      <c r="S8" s="19"/>
      <c r="T8" s="17"/>
      <c r="U8" s="17"/>
      <c r="V8" s="248" t="s">
        <v>159</v>
      </c>
      <c r="W8" s="248"/>
    </row>
    <row r="9" spans="1:23" ht="15" customHeight="1" x14ac:dyDescent="0.3">
      <c r="A9" s="85"/>
      <c r="B9" s="249"/>
      <c r="C9" s="249"/>
      <c r="D9" s="249"/>
      <c r="E9" s="249"/>
      <c r="F9" s="98"/>
      <c r="G9" s="85"/>
      <c r="H9" s="85"/>
      <c r="I9" s="250"/>
      <c r="J9" s="250"/>
      <c r="N9" s="85"/>
      <c r="O9" s="248"/>
      <c r="P9" s="248"/>
      <c r="Q9" s="248"/>
      <c r="R9" s="248"/>
      <c r="S9" s="19"/>
      <c r="T9" s="17"/>
      <c r="U9" s="17"/>
      <c r="V9" s="250"/>
      <c r="W9" s="250"/>
    </row>
    <row r="10" spans="1:23" ht="52.5" customHeight="1" x14ac:dyDescent="0.3">
      <c r="A10" s="85"/>
      <c r="B10" s="239"/>
      <c r="C10" s="99"/>
      <c r="D10" s="99"/>
      <c r="E10" s="100"/>
      <c r="F10" s="99"/>
      <c r="G10" s="85"/>
      <c r="H10" s="85"/>
      <c r="I10" s="240" t="s">
        <v>8</v>
      </c>
      <c r="J10" s="101" t="s">
        <v>160</v>
      </c>
      <c r="N10" s="85"/>
      <c r="O10" s="221"/>
      <c r="P10" s="102"/>
      <c r="Q10" s="102"/>
      <c r="R10" s="103"/>
      <c r="S10" s="102"/>
      <c r="T10" s="17"/>
      <c r="U10" s="17"/>
      <c r="V10" s="240" t="s">
        <v>8</v>
      </c>
      <c r="W10" s="104" t="s">
        <v>161</v>
      </c>
    </row>
    <row r="11" spans="1:23" x14ac:dyDescent="0.3">
      <c r="A11" s="85"/>
      <c r="B11" s="239"/>
      <c r="C11" s="105"/>
      <c r="D11" s="105"/>
      <c r="E11" s="105"/>
      <c r="F11" s="105"/>
      <c r="G11" s="85"/>
      <c r="H11" s="85"/>
      <c r="I11" s="205"/>
      <c r="J11" s="106" t="s">
        <v>162</v>
      </c>
      <c r="N11" s="85"/>
      <c r="O11" s="221"/>
      <c r="P11" s="29"/>
      <c r="Q11" s="29"/>
      <c r="R11" s="107"/>
      <c r="S11" s="107"/>
      <c r="T11" s="17"/>
      <c r="U11" s="17"/>
      <c r="V11" s="205"/>
      <c r="W11" s="106" t="s">
        <v>162</v>
      </c>
    </row>
    <row r="12" spans="1:23" x14ac:dyDescent="0.3">
      <c r="A12" s="85"/>
      <c r="B12" s="105"/>
      <c r="C12" s="108"/>
      <c r="D12" s="108"/>
      <c r="E12" s="108"/>
      <c r="F12" s="108"/>
      <c r="G12" s="85"/>
      <c r="H12" s="85"/>
      <c r="I12" s="16">
        <v>2004</v>
      </c>
      <c r="J12" s="64">
        <v>3.2806372830842312E-2</v>
      </c>
      <c r="N12" s="85"/>
      <c r="O12" s="29"/>
      <c r="P12" s="109"/>
      <c r="Q12" s="109"/>
      <c r="R12" s="109"/>
      <c r="S12" s="109"/>
      <c r="T12" s="17"/>
      <c r="U12" s="17"/>
      <c r="V12" s="16">
        <v>2004</v>
      </c>
      <c r="W12" s="64">
        <v>3.6752054475157836E-2</v>
      </c>
    </row>
    <row r="13" spans="1:23" x14ac:dyDescent="0.3">
      <c r="A13" s="85"/>
      <c r="B13" s="105"/>
      <c r="C13" s="108"/>
      <c r="D13" s="108"/>
      <c r="E13" s="108"/>
      <c r="F13" s="108"/>
      <c r="G13" s="85"/>
      <c r="H13" s="85"/>
      <c r="I13" s="16">
        <v>2005</v>
      </c>
      <c r="J13" s="64">
        <v>3.2431106652150987E-2</v>
      </c>
      <c r="N13" s="85"/>
      <c r="O13" s="29"/>
      <c r="P13" s="109"/>
      <c r="Q13" s="109"/>
      <c r="R13" s="109"/>
      <c r="S13" s="109"/>
      <c r="T13" s="17"/>
      <c r="U13" s="17"/>
      <c r="V13" s="16">
        <v>2005</v>
      </c>
      <c r="W13" s="64">
        <v>3.7747777104766955E-2</v>
      </c>
    </row>
    <row r="14" spans="1:23" x14ac:dyDescent="0.3">
      <c r="A14" s="85"/>
      <c r="B14" s="105"/>
      <c r="C14" s="108"/>
      <c r="D14" s="108"/>
      <c r="E14" s="108"/>
      <c r="F14" s="108"/>
      <c r="G14" s="85"/>
      <c r="H14" s="85"/>
      <c r="I14" s="16">
        <v>2006</v>
      </c>
      <c r="J14" s="64">
        <v>3.2058228168434511E-2</v>
      </c>
      <c r="N14" s="85"/>
      <c r="O14" s="29"/>
      <c r="P14" s="109"/>
      <c r="Q14" s="109"/>
      <c r="R14" s="109"/>
      <c r="S14" s="109"/>
      <c r="T14" s="17"/>
      <c r="U14" s="17"/>
      <c r="V14" s="16">
        <v>2006</v>
      </c>
      <c r="W14" s="64">
        <v>3.866374713864329E-2</v>
      </c>
    </row>
    <row r="15" spans="1:23" x14ac:dyDescent="0.3">
      <c r="A15" s="85"/>
      <c r="B15" s="105"/>
      <c r="C15" s="108"/>
      <c r="D15" s="108"/>
      <c r="E15" s="108"/>
      <c r="F15" s="108"/>
      <c r="G15" s="85"/>
      <c r="H15" s="85"/>
      <c r="I15" s="16">
        <v>2007</v>
      </c>
      <c r="J15" s="64">
        <v>3.1688219398768869E-2</v>
      </c>
      <c r="N15" s="85"/>
      <c r="O15" s="29"/>
      <c r="P15" s="109"/>
      <c r="Q15" s="109"/>
      <c r="R15" s="109"/>
      <c r="S15" s="109"/>
      <c r="T15" s="17"/>
      <c r="U15" s="17"/>
      <c r="V15" s="16">
        <v>2007</v>
      </c>
      <c r="W15" s="64">
        <v>3.9499666051839188E-2</v>
      </c>
    </row>
    <row r="16" spans="1:23" x14ac:dyDescent="0.3">
      <c r="A16" s="85"/>
      <c r="B16" s="105"/>
      <c r="C16" s="108"/>
      <c r="D16" s="108"/>
      <c r="E16" s="108"/>
      <c r="F16" s="108"/>
      <c r="G16" s="85"/>
      <c r="H16" s="85"/>
      <c r="I16" s="16">
        <v>2008</v>
      </c>
      <c r="J16" s="64">
        <v>3.1321494451612031E-2</v>
      </c>
      <c r="N16" s="85"/>
      <c r="O16" s="29"/>
      <c r="P16" s="109"/>
      <c r="Q16" s="109"/>
      <c r="R16" s="109"/>
      <c r="S16" s="109"/>
      <c r="T16" s="17"/>
      <c r="U16" s="17"/>
      <c r="V16" s="16">
        <v>2008</v>
      </c>
      <c r="W16" s="64">
        <v>4.0256054713118772E-2</v>
      </c>
    </row>
    <row r="17" spans="1:23" x14ac:dyDescent="0.3">
      <c r="A17" s="85"/>
      <c r="B17" s="105"/>
      <c r="C17" s="108"/>
      <c r="D17" s="108"/>
      <c r="E17" s="108"/>
      <c r="F17" s="108"/>
      <c r="G17" s="85"/>
      <c r="H17" s="85"/>
      <c r="I17" s="16">
        <v>2009</v>
      </c>
      <c r="J17" s="64">
        <v>3.095840700210073E-2</v>
      </c>
      <c r="N17" s="85"/>
      <c r="O17" s="29"/>
      <c r="P17" s="109"/>
      <c r="Q17" s="109"/>
      <c r="R17" s="109"/>
      <c r="S17" s="109"/>
      <c r="T17" s="17"/>
      <c r="U17" s="17"/>
      <c r="V17" s="16">
        <v>2009</v>
      </c>
      <c r="W17" s="64">
        <v>4.0934153926669214E-2</v>
      </c>
    </row>
    <row r="18" spans="1:23" x14ac:dyDescent="0.3">
      <c r="A18" s="85"/>
      <c r="B18" s="105"/>
      <c r="C18" s="108"/>
      <c r="D18" s="108"/>
      <c r="E18" s="108"/>
      <c r="F18" s="108"/>
      <c r="G18" s="85"/>
      <c r="H18" s="85"/>
      <c r="I18" s="16">
        <v>2010</v>
      </c>
      <c r="J18" s="64">
        <v>3.05992570032807E-2</v>
      </c>
      <c r="N18" s="85"/>
      <c r="O18" s="29"/>
      <c r="P18" s="109"/>
      <c r="Q18" s="109"/>
      <c r="R18" s="109"/>
      <c r="S18" s="109"/>
      <c r="T18" s="17"/>
      <c r="U18" s="17"/>
      <c r="V18" s="16">
        <v>2010</v>
      </c>
      <c r="W18" s="64">
        <v>4.1535822418028445E-2</v>
      </c>
    </row>
    <row r="19" spans="1:23" x14ac:dyDescent="0.3">
      <c r="A19" s="85"/>
      <c r="B19" s="105"/>
      <c r="C19" s="108"/>
      <c r="D19" s="108"/>
      <c r="E19" s="108"/>
      <c r="F19" s="108"/>
      <c r="G19" s="85"/>
      <c r="H19" s="85"/>
      <c r="I19" s="16">
        <v>2011</v>
      </c>
      <c r="J19" s="64">
        <v>3.0244296703567874E-2</v>
      </c>
      <c r="N19" s="85"/>
      <c r="O19" s="29"/>
      <c r="P19" s="109"/>
      <c r="Q19" s="109"/>
      <c r="R19" s="109"/>
      <c r="S19" s="109"/>
      <c r="T19" s="17"/>
      <c r="U19" s="17"/>
      <c r="V19" s="16">
        <v>2011</v>
      </c>
      <c r="W19" s="64">
        <v>4.2063435667316851E-2</v>
      </c>
    </row>
    <row r="20" spans="1:23" x14ac:dyDescent="0.3">
      <c r="A20" s="85"/>
      <c r="B20" s="105"/>
      <c r="C20" s="108"/>
      <c r="D20" s="108"/>
      <c r="E20" s="108"/>
      <c r="F20" s="108"/>
      <c r="G20" s="85"/>
      <c r="H20" s="85"/>
      <c r="I20" s="16">
        <v>2012</v>
      </c>
      <c r="J20" s="64">
        <v>2.9893736037277296E-2</v>
      </c>
      <c r="N20" s="85"/>
      <c r="O20" s="29"/>
      <c r="P20" s="109"/>
      <c r="Q20" s="109"/>
      <c r="R20" s="109"/>
      <c r="S20" s="109"/>
      <c r="T20" s="17"/>
      <c r="U20" s="17"/>
      <c r="V20" s="16">
        <v>2012</v>
      </c>
      <c r="W20" s="64">
        <v>4.2519788369087541E-2</v>
      </c>
    </row>
    <row r="21" spans="1:23" x14ac:dyDescent="0.3">
      <c r="A21" s="85"/>
      <c r="B21" s="105"/>
      <c r="C21" s="108"/>
      <c r="D21" s="108"/>
      <c r="E21" s="108"/>
      <c r="F21" s="108"/>
      <c r="G21" s="85"/>
      <c r="H21" s="85"/>
      <c r="I21" s="16">
        <v>2013</v>
      </c>
      <c r="J21" s="64">
        <v>2.954774744967481E-2</v>
      </c>
      <c r="N21" s="85"/>
      <c r="O21" s="29"/>
      <c r="P21" s="109"/>
      <c r="Q21" s="109"/>
      <c r="R21" s="109"/>
      <c r="S21" s="109"/>
      <c r="T21" s="17"/>
      <c r="U21" s="17"/>
      <c r="V21" s="16">
        <v>2013</v>
      </c>
      <c r="W21" s="64">
        <v>4.29080026622084E-2</v>
      </c>
    </row>
    <row r="22" spans="1:23" x14ac:dyDescent="0.3">
      <c r="A22" s="85"/>
      <c r="B22" s="105"/>
      <c r="C22" s="108"/>
      <c r="D22" s="108"/>
      <c r="E22" s="108"/>
      <c r="F22" s="108"/>
      <c r="G22" s="85"/>
      <c r="H22" s="85"/>
      <c r="I22" s="16">
        <v>2014</v>
      </c>
      <c r="J22" s="64">
        <v>2.920647021279632E-2</v>
      </c>
      <c r="N22" s="85"/>
      <c r="O22" s="29"/>
      <c r="P22" s="109"/>
      <c r="Q22" s="109"/>
      <c r="R22" s="109"/>
      <c r="S22" s="109"/>
      <c r="T22" s="17"/>
      <c r="U22" s="17"/>
      <c r="V22" s="16">
        <v>2014</v>
      </c>
      <c r="W22" s="64">
        <v>4.3231443665282088E-2</v>
      </c>
    </row>
    <row r="23" spans="1:23" x14ac:dyDescent="0.3">
      <c r="A23" s="85"/>
      <c r="B23" s="105"/>
      <c r="C23" s="108"/>
      <c r="D23" s="108"/>
      <c r="E23" s="108"/>
      <c r="F23" s="108"/>
      <c r="G23" s="85"/>
      <c r="H23" s="85"/>
      <c r="I23" s="16">
        <v>2015</v>
      </c>
      <c r="J23" s="64">
        <v>2.8870014283296497E-2</v>
      </c>
      <c r="N23" s="85"/>
      <c r="O23" s="29"/>
      <c r="P23" s="109"/>
      <c r="Q23" s="109"/>
      <c r="R23" s="109"/>
      <c r="S23" s="109"/>
      <c r="T23" s="17"/>
      <c r="U23" s="17"/>
      <c r="V23" s="16">
        <v>2015</v>
      </c>
      <c r="W23" s="64">
        <v>4.3493643301766305E-2</v>
      </c>
    </row>
    <row r="24" spans="1:23" x14ac:dyDescent="0.3">
      <c r="A24" s="85"/>
      <c r="B24" s="105"/>
      <c r="C24" s="108"/>
      <c r="D24" s="108"/>
      <c r="E24" s="108"/>
      <c r="F24" s="108"/>
      <c r="G24" s="85"/>
      <c r="H24" s="85"/>
      <c r="I24" s="16">
        <v>2016</v>
      </c>
      <c r="J24" s="64">
        <v>2.8538463748914111E-2</v>
      </c>
      <c r="N24" s="85"/>
      <c r="O24" s="29"/>
      <c r="P24" s="109"/>
      <c r="Q24" s="109"/>
      <c r="R24" s="109"/>
      <c r="S24" s="109"/>
      <c r="T24" s="17"/>
      <c r="U24" s="17"/>
      <c r="V24" s="16">
        <v>2016</v>
      </c>
      <c r="W24" s="64">
        <v>4.3698232921719038E-2</v>
      </c>
    </row>
    <row r="25" spans="1:23" x14ac:dyDescent="0.3">
      <c r="A25" s="85"/>
      <c r="B25" s="105"/>
      <c r="C25" s="108"/>
      <c r="D25" s="108"/>
      <c r="E25" s="108"/>
      <c r="F25" s="108"/>
      <c r="G25" s="85"/>
      <c r="H25" s="85"/>
      <c r="I25" s="16">
        <v>2017</v>
      </c>
      <c r="J25" s="64">
        <v>2.8211879905758463E-2</v>
      </c>
      <c r="N25" s="85"/>
      <c r="O25" s="29"/>
      <c r="P25" s="109"/>
      <c r="Q25" s="109"/>
      <c r="R25" s="109"/>
      <c r="S25" s="109"/>
      <c r="T25" s="17"/>
      <c r="U25" s="17"/>
      <c r="V25" s="16">
        <v>2017</v>
      </c>
      <c r="W25" s="64">
        <v>4.3848884832208945E-2</v>
      </c>
    </row>
    <row r="26" spans="1:23" x14ac:dyDescent="0.3">
      <c r="A26" s="85"/>
      <c r="B26" s="105"/>
      <c r="C26" s="108"/>
      <c r="D26" s="108"/>
      <c r="E26" s="108"/>
      <c r="F26" s="108"/>
      <c r="G26" s="85"/>
      <c r="H26" s="85"/>
      <c r="I26" s="16">
        <v>2018</v>
      </c>
      <c r="J26" s="64">
        <v>2.7890304004579924E-2</v>
      </c>
      <c r="N26" s="85"/>
      <c r="O26" s="29"/>
      <c r="P26" s="109"/>
      <c r="Q26" s="109"/>
      <c r="R26" s="109"/>
      <c r="S26" s="109"/>
      <c r="T26" s="17"/>
      <c r="U26" s="17"/>
      <c r="V26" s="16">
        <v>2018</v>
      </c>
      <c r="W26" s="64">
        <v>4.3949262536679301E-2</v>
      </c>
    </row>
    <row r="27" spans="1:23" x14ac:dyDescent="0.3">
      <c r="A27" s="85"/>
      <c r="B27" s="105"/>
      <c r="C27" s="108"/>
      <c r="D27" s="108"/>
      <c r="E27" s="108"/>
      <c r="F27" s="108"/>
      <c r="G27" s="85"/>
      <c r="H27" s="85"/>
      <c r="I27" s="16">
        <v>2019</v>
      </c>
      <c r="J27" s="64">
        <v>2.7573759700438627E-2</v>
      </c>
      <c r="N27" s="85"/>
      <c r="O27" s="29"/>
      <c r="P27" s="109"/>
      <c r="Q27" s="109"/>
      <c r="R27" s="109"/>
      <c r="S27" s="109"/>
      <c r="T27" s="17"/>
      <c r="U27" s="17"/>
      <c r="V27" s="16">
        <v>2019</v>
      </c>
      <c r="W27" s="64">
        <v>4.4002979250371332E-2</v>
      </c>
    </row>
    <row r="28" spans="1:23" x14ac:dyDescent="0.3">
      <c r="A28" s="85"/>
      <c r="B28" s="105"/>
      <c r="C28" s="108"/>
      <c r="D28" s="108"/>
      <c r="E28" s="108"/>
      <c r="F28" s="108"/>
      <c r="G28" s="85"/>
      <c r="H28" s="85"/>
      <c r="I28" s="16">
        <v>2020</v>
      </c>
      <c r="J28" s="64">
        <v>2.7262255236785382E-2</v>
      </c>
      <c r="N28" s="85"/>
      <c r="O28" s="29"/>
      <c r="P28" s="109"/>
      <c r="Q28" s="109"/>
      <c r="R28" s="109"/>
      <c r="S28" s="109"/>
      <c r="T28" s="17"/>
      <c r="U28" s="17"/>
      <c r="V28" s="16">
        <v>2020</v>
      </c>
      <c r="W28" s="64">
        <v>4.4013564096202051E-2</v>
      </c>
    </row>
    <row r="29" spans="1:23" x14ac:dyDescent="0.3">
      <c r="A29" s="85"/>
      <c r="B29" s="105"/>
      <c r="C29" s="108"/>
      <c r="D29" s="108"/>
      <c r="E29" s="108"/>
      <c r="F29" s="108"/>
      <c r="G29" s="85"/>
      <c r="H29" s="85"/>
      <c r="I29" s="16">
        <v>2021</v>
      </c>
      <c r="J29" s="64">
        <v>2.6955785391836518E-2</v>
      </c>
      <c r="N29" s="85"/>
      <c r="O29" s="29"/>
      <c r="P29" s="109"/>
      <c r="Q29" s="109"/>
      <c r="R29" s="109"/>
      <c r="S29" s="109"/>
      <c r="T29" s="17"/>
      <c r="U29" s="17"/>
      <c r="V29" s="16">
        <v>2021</v>
      </c>
      <c r="W29" s="64">
        <v>4.3984435283257017E-2</v>
      </c>
    </row>
    <row r="30" spans="1:23" x14ac:dyDescent="0.3">
      <c r="A30" s="85"/>
      <c r="B30" s="105"/>
      <c r="C30" s="108"/>
      <c r="D30" s="108"/>
      <c r="E30" s="108"/>
      <c r="F30" s="108"/>
      <c r="G30" s="85"/>
      <c r="H30" s="85"/>
      <c r="I30" s="16">
        <v>2022</v>
      </c>
      <c r="J30" s="64">
        <v>2.665433321228905E-2</v>
      </c>
      <c r="N30" s="85"/>
      <c r="O30" s="29"/>
      <c r="P30" s="109"/>
      <c r="Q30" s="109"/>
      <c r="R30" s="109"/>
      <c r="S30" s="109"/>
      <c r="T30" s="17"/>
      <c r="U30" s="17"/>
      <c r="V30" s="16">
        <v>2022</v>
      </c>
      <c r="W30" s="64">
        <v>4.3918879517587994E-2</v>
      </c>
    </row>
    <row r="31" spans="1:23" x14ac:dyDescent="0.3">
      <c r="A31" s="85"/>
      <c r="B31" s="105"/>
      <c r="C31" s="108"/>
      <c r="D31" s="108"/>
      <c r="E31" s="108"/>
      <c r="F31" s="108"/>
      <c r="G31" s="85"/>
      <c r="H31" s="85"/>
      <c r="I31" s="16">
        <v>2023</v>
      </c>
      <c r="J31" s="64">
        <v>2.6357871556867973E-2</v>
      </c>
      <c r="N31" s="85"/>
      <c r="O31" s="29"/>
      <c r="P31" s="109"/>
      <c r="Q31" s="109"/>
      <c r="R31" s="109"/>
      <c r="S31" s="109"/>
      <c r="T31" s="17"/>
      <c r="U31" s="17"/>
      <c r="V31" s="16">
        <v>2023</v>
      </c>
      <c r="W31" s="64">
        <v>4.3820036881876856E-2</v>
      </c>
    </row>
    <row r="32" spans="1:23" x14ac:dyDescent="0.3">
      <c r="A32" s="85"/>
      <c r="B32" s="105"/>
      <c r="C32" s="108"/>
      <c r="D32" s="108"/>
      <c r="E32" s="108"/>
      <c r="F32" s="108"/>
      <c r="G32" s="85"/>
      <c r="H32" s="85"/>
      <c r="I32" s="16">
        <v>2024</v>
      </c>
      <c r="J32" s="64">
        <v>2.6066364469840897E-2</v>
      </c>
      <c r="N32" s="85"/>
      <c r="O32" s="29"/>
      <c r="P32" s="109"/>
      <c r="Q32" s="109"/>
      <c r="R32" s="109"/>
      <c r="S32" s="109"/>
      <c r="T32" s="17"/>
      <c r="U32" s="17"/>
      <c r="V32" s="16">
        <v>2024</v>
      </c>
      <c r="W32" s="64">
        <v>4.369089043708585E-2</v>
      </c>
    </row>
    <row r="33" spans="1:23" x14ac:dyDescent="0.3">
      <c r="A33" s="85"/>
      <c r="B33" s="105"/>
      <c r="C33" s="108"/>
      <c r="D33" s="108"/>
      <c r="E33" s="108"/>
      <c r="F33" s="108"/>
      <c r="G33" s="85"/>
      <c r="H33" s="85"/>
      <c r="I33" s="16">
        <v>2025</v>
      </c>
      <c r="J33" s="64">
        <v>2.5779768402586001E-2</v>
      </c>
      <c r="N33" s="85"/>
      <c r="O33" s="29"/>
      <c r="P33" s="109"/>
      <c r="Q33" s="109"/>
      <c r="R33" s="109"/>
      <c r="S33" s="109"/>
      <c r="T33" s="17"/>
      <c r="U33" s="17"/>
      <c r="V33" s="16">
        <v>2025</v>
      </c>
      <c r="W33" s="64">
        <v>4.3534259837034961E-2</v>
      </c>
    </row>
    <row r="34" spans="1:23" x14ac:dyDescent="0.3">
      <c r="A34" s="85"/>
      <c r="B34" s="105"/>
      <c r="C34" s="108"/>
      <c r="D34" s="108"/>
      <c r="E34" s="108"/>
      <c r="F34" s="108"/>
      <c r="G34" s="85"/>
      <c r="H34" s="85"/>
      <c r="I34" s="16">
        <v>2026</v>
      </c>
      <c r="J34" s="64">
        <v>2.5498033299362177E-2</v>
      </c>
      <c r="N34" s="85"/>
      <c r="O34" s="29"/>
      <c r="P34" s="109"/>
      <c r="Q34" s="109"/>
      <c r="R34" s="109"/>
      <c r="S34" s="109"/>
      <c r="T34" s="17"/>
      <c r="U34" s="17"/>
      <c r="V34" s="16">
        <v>2026</v>
      </c>
      <c r="W34" s="64">
        <v>4.335279829880645E-2</v>
      </c>
    </row>
    <row r="35" spans="1:23" x14ac:dyDescent="0.3">
      <c r="A35" s="85"/>
      <c r="B35" s="105"/>
      <c r="C35" s="108"/>
      <c r="D35" s="108"/>
      <c r="E35" s="108"/>
      <c r="F35" s="108"/>
      <c r="G35" s="85"/>
      <c r="H35" s="85"/>
      <c r="I35" s="16">
        <v>2027</v>
      </c>
      <c r="J35" s="64">
        <v>2.5221103561767322E-2</v>
      </c>
      <c r="N35" s="85"/>
      <c r="O35" s="29"/>
      <c r="P35" s="109"/>
      <c r="Q35" s="109"/>
      <c r="R35" s="109"/>
      <c r="S35" s="109"/>
      <c r="T35" s="17"/>
      <c r="U35" s="17"/>
      <c r="V35" s="16">
        <v>2027</v>
      </c>
      <c r="W35" s="64">
        <v>4.3148992332171288E-2</v>
      </c>
    </row>
    <row r="36" spans="1:23" x14ac:dyDescent="0.3">
      <c r="A36" s="85"/>
      <c r="B36" s="105"/>
      <c r="C36" s="108"/>
      <c r="D36" s="108"/>
      <c r="E36" s="108"/>
      <c r="F36" s="108"/>
      <c r="G36" s="85"/>
      <c r="H36" s="85"/>
      <c r="I36" s="16">
        <v>2028</v>
      </c>
      <c r="J36" s="64">
        <v>2.4948918904835526E-2</v>
      </c>
      <c r="N36" s="85"/>
      <c r="O36" s="29"/>
      <c r="P36" s="109"/>
      <c r="Q36" s="109"/>
      <c r="R36" s="109"/>
      <c r="S36" s="109"/>
      <c r="T36" s="17"/>
      <c r="U36" s="17"/>
      <c r="V36" s="16">
        <v>2028</v>
      </c>
      <c r="W36" s="64">
        <v>4.2925163695386903E-2</v>
      </c>
    </row>
    <row r="37" spans="1:23" x14ac:dyDescent="0.3">
      <c r="A37" s="85"/>
      <c r="B37" s="105"/>
      <c r="C37" s="108"/>
      <c r="D37" s="108"/>
      <c r="E37" s="108"/>
      <c r="F37" s="108"/>
      <c r="G37" s="85"/>
      <c r="H37" s="85"/>
      <c r="I37" s="16">
        <v>2029</v>
      </c>
      <c r="J37" s="64">
        <v>2.4681415116347472E-2</v>
      </c>
      <c r="N37" s="85"/>
      <c r="O37" s="29"/>
      <c r="P37" s="109"/>
      <c r="Q37" s="109"/>
      <c r="R37" s="109"/>
      <c r="S37" s="109"/>
      <c r="T37" s="17"/>
      <c r="U37" s="17"/>
      <c r="V37" s="16">
        <v>2029</v>
      </c>
      <c r="W37" s="64">
        <v>4.2683473109265568E-2</v>
      </c>
    </row>
    <row r="38" spans="1:23" x14ac:dyDescent="0.3">
      <c r="A38" s="85"/>
      <c r="B38" s="105"/>
      <c r="C38" s="108"/>
      <c r="D38" s="108"/>
      <c r="E38" s="108"/>
      <c r="F38" s="108"/>
      <c r="G38" s="85"/>
      <c r="H38" s="85"/>
      <c r="I38" s="16">
        <v>2030</v>
      </c>
      <c r="J38" s="64">
        <v>2.4418524729718616E-2</v>
      </c>
      <c r="N38" s="85"/>
      <c r="O38" s="29"/>
      <c r="P38" s="109"/>
      <c r="Q38" s="109"/>
      <c r="R38" s="109"/>
      <c r="S38" s="109"/>
      <c r="T38" s="17"/>
      <c r="U38" s="17"/>
      <c r="V38" s="16">
        <v>2030</v>
      </c>
      <c r="W38" s="64">
        <v>4.2425925323941405E-2</v>
      </c>
    </row>
    <row r="39" spans="1:23" x14ac:dyDescent="0.3">
      <c r="A39" s="85"/>
      <c r="B39" s="105"/>
      <c r="C39" s="108"/>
      <c r="D39" s="108"/>
      <c r="E39" s="108"/>
      <c r="F39" s="108"/>
      <c r="G39" s="85"/>
      <c r="H39" s="85"/>
      <c r="I39" s="16">
        <v>2031</v>
      </c>
      <c r="J39" s="64">
        <v>2.4160177619720669E-2</v>
      </c>
      <c r="N39" s="85"/>
      <c r="O39" s="29"/>
      <c r="P39" s="109"/>
      <c r="Q39" s="109"/>
      <c r="R39" s="109"/>
      <c r="S39" s="109"/>
      <c r="T39" s="17"/>
      <c r="U39" s="17"/>
      <c r="V39" s="16">
        <v>2031</v>
      </c>
      <c r="W39" s="64">
        <v>4.2154375191619797E-2</v>
      </c>
    </row>
    <row r="40" spans="1:23" x14ac:dyDescent="0.3">
      <c r="A40" s="85"/>
      <c r="B40" s="105"/>
      <c r="C40" s="108"/>
      <c r="D40" s="108"/>
      <c r="E40" s="108"/>
      <c r="F40" s="108"/>
      <c r="G40" s="85"/>
      <c r="H40" s="85"/>
      <c r="I40" s="16">
        <v>2032</v>
      </c>
      <c r="J40" s="64">
        <v>2.3906301529309726E-2</v>
      </c>
      <c r="N40" s="85"/>
      <c r="O40" s="29"/>
      <c r="P40" s="109"/>
      <c r="Q40" s="109"/>
      <c r="R40" s="109"/>
      <c r="S40" s="109"/>
      <c r="T40" s="17"/>
      <c r="U40" s="17"/>
      <c r="V40" s="16">
        <v>2032</v>
      </c>
      <c r="W40" s="64">
        <v>4.1870534452690178E-2</v>
      </c>
    </row>
    <row r="41" spans="1:23" x14ac:dyDescent="0.3">
      <c r="A41" s="85"/>
      <c r="B41" s="105"/>
      <c r="C41" s="108"/>
      <c r="D41" s="108"/>
      <c r="E41" s="108"/>
      <c r="F41" s="108"/>
      <c r="G41" s="85"/>
      <c r="H41" s="85"/>
      <c r="I41" s="16">
        <v>2033</v>
      </c>
      <c r="J41" s="64">
        <v>2.3656822534967814E-2</v>
      </c>
      <c r="N41" s="85"/>
      <c r="O41" s="29"/>
      <c r="P41" s="109"/>
      <c r="Q41" s="109"/>
      <c r="R41" s="109"/>
      <c r="S41" s="109"/>
      <c r="T41" s="17"/>
      <c r="U41" s="17"/>
      <c r="V41" s="16">
        <v>2033</v>
      </c>
      <c r="W41" s="64">
        <v>4.157597899144938E-2</v>
      </c>
    </row>
    <row r="42" spans="1:23" x14ac:dyDescent="0.3">
      <c r="A42" s="85"/>
      <c r="B42" s="105"/>
      <c r="C42" s="108"/>
      <c r="D42" s="108"/>
      <c r="E42" s="108"/>
      <c r="F42" s="108"/>
      <c r="G42" s="85"/>
      <c r="H42" s="85"/>
      <c r="I42" s="16">
        <v>2034</v>
      </c>
      <c r="J42" s="64">
        <v>2.3411665457156117E-2</v>
      </c>
      <c r="N42" s="85"/>
      <c r="O42" s="29"/>
      <c r="P42" s="109"/>
      <c r="Q42" s="109"/>
      <c r="R42" s="109"/>
      <c r="S42" s="109"/>
      <c r="T42" s="17"/>
      <c r="U42" s="17"/>
      <c r="V42" s="16">
        <v>2034</v>
      </c>
      <c r="W42" s="64">
        <v>4.1272156361059631E-2</v>
      </c>
    </row>
    <row r="43" spans="1:23" x14ac:dyDescent="0.3">
      <c r="A43" s="85"/>
      <c r="B43" s="105"/>
      <c r="C43" s="108"/>
      <c r="D43" s="108"/>
      <c r="E43" s="108"/>
      <c r="F43" s="108"/>
      <c r="G43" s="85"/>
      <c r="H43" s="85"/>
      <c r="I43" s="16">
        <v>2035</v>
      </c>
      <c r="J43" s="64">
        <v>2.3170754221801593E-2</v>
      </c>
      <c r="N43" s="85"/>
      <c r="O43" s="29"/>
      <c r="P43" s="109"/>
      <c r="Q43" s="109"/>
      <c r="R43" s="109"/>
      <c r="S43" s="109"/>
      <c r="T43" s="17"/>
      <c r="U43" s="17"/>
      <c r="V43" s="16">
        <v>2035</v>
      </c>
      <c r="W43" s="64">
        <v>4.0960393415391705E-2</v>
      </c>
    </row>
    <row r="44" spans="1:23" x14ac:dyDescent="0.3">
      <c r="A44" s="85"/>
      <c r="B44" s="105"/>
      <c r="C44" s="108"/>
      <c r="D44" s="108"/>
      <c r="E44" s="108"/>
      <c r="F44" s="108"/>
      <c r="G44" s="85"/>
      <c r="H44" s="85"/>
      <c r="I44" s="16">
        <v>2036</v>
      </c>
      <c r="J44" s="64">
        <v>2.2934012178090102E-2</v>
      </c>
      <c r="N44" s="85"/>
      <c r="O44" s="29"/>
      <c r="P44" s="109"/>
      <c r="Q44" s="109"/>
      <c r="R44" s="109"/>
      <c r="S44" s="109"/>
      <c r="T44" s="17"/>
      <c r="U44" s="17"/>
      <c r="V44" s="16">
        <v>2036</v>
      </c>
      <c r="W44" s="64">
        <v>4.0641903918277045E-2</v>
      </c>
    </row>
    <row r="45" spans="1:23" x14ac:dyDescent="0.3">
      <c r="A45" s="85"/>
      <c r="B45" s="105"/>
      <c r="C45" s="108"/>
      <c r="D45" s="108"/>
      <c r="E45" s="108"/>
      <c r="F45" s="108"/>
      <c r="G45" s="85"/>
      <c r="H45" s="85"/>
      <c r="I45" s="16">
        <v>2037</v>
      </c>
      <c r="J45" s="64">
        <v>2.270136237728515E-2</v>
      </c>
      <c r="N45" s="85"/>
      <c r="O45" s="29"/>
      <c r="P45" s="109"/>
      <c r="Q45" s="109"/>
      <c r="R45" s="109"/>
      <c r="S45" s="109"/>
      <c r="T45" s="17"/>
      <c r="U45" s="17"/>
      <c r="V45" s="16">
        <v>2037</v>
      </c>
      <c r="W45" s="64">
        <v>4.0317796028848774E-2</v>
      </c>
    </row>
    <row r="46" spans="1:23" x14ac:dyDescent="0.3">
      <c r="A46" s="85"/>
      <c r="B46" s="105"/>
      <c r="C46" s="108"/>
      <c r="D46" s="108"/>
      <c r="E46" s="108"/>
      <c r="F46" s="108"/>
      <c r="G46" s="85"/>
      <c r="H46" s="85"/>
      <c r="I46" s="16">
        <v>2038</v>
      </c>
      <c r="J46" s="64">
        <v>2.2472727816799321E-2</v>
      </c>
      <c r="N46" s="85"/>
      <c r="O46" s="29"/>
      <c r="P46" s="109"/>
      <c r="Q46" s="109"/>
      <c r="R46" s="109"/>
      <c r="S46" s="109"/>
      <c r="T46" s="17"/>
      <c r="U46" s="17"/>
      <c r="V46" s="16">
        <v>2038</v>
      </c>
      <c r="W46" s="64">
        <v>3.9989079585424747E-2</v>
      </c>
    </row>
    <row r="47" spans="1:23" x14ac:dyDescent="0.3">
      <c r="A47" s="85"/>
      <c r="B47" s="105"/>
      <c r="C47" s="108"/>
      <c r="D47" s="108"/>
      <c r="E47" s="108"/>
      <c r="F47" s="108"/>
      <c r="G47" s="85"/>
      <c r="H47" s="85"/>
      <c r="I47" s="16">
        <v>2039</v>
      </c>
      <c r="J47" s="64">
        <v>2.2248031653277378E-2</v>
      </c>
      <c r="N47" s="85"/>
      <c r="O47" s="29"/>
      <c r="P47" s="109"/>
      <c r="Q47" s="109"/>
      <c r="R47" s="109"/>
      <c r="S47" s="109"/>
      <c r="T47" s="17"/>
      <c r="U47" s="17"/>
      <c r="V47" s="16">
        <v>2039</v>
      </c>
      <c r="W47" s="64">
        <v>3.9656673130336495E-2</v>
      </c>
    </row>
    <row r="48" spans="1:23" x14ac:dyDescent="0.3">
      <c r="A48" s="85"/>
      <c r="B48" s="105"/>
      <c r="C48" s="108"/>
      <c r="D48" s="108"/>
      <c r="E48" s="108"/>
      <c r="F48" s="108"/>
      <c r="G48" s="85"/>
      <c r="H48" s="85"/>
      <c r="I48" s="16">
        <v>2040</v>
      </c>
      <c r="J48" s="64">
        <v>2.2027197388069686E-2</v>
      </c>
      <c r="N48" s="85"/>
      <c r="O48" s="29"/>
      <c r="P48" s="109"/>
      <c r="Q48" s="109"/>
      <c r="R48" s="109"/>
      <c r="S48" s="109"/>
      <c r="T48" s="17"/>
      <c r="U48" s="17"/>
      <c r="V48" s="16">
        <v>2040</v>
      </c>
      <c r="W48" s="64">
        <v>3.93214106346087E-2</v>
      </c>
    </row>
    <row r="49" spans="1:23" x14ac:dyDescent="0.3">
      <c r="A49" s="85"/>
      <c r="B49" s="105"/>
      <c r="C49" s="108"/>
      <c r="D49" s="108"/>
      <c r="E49" s="108"/>
      <c r="F49" s="108"/>
      <c r="G49" s="85"/>
      <c r="H49" s="85"/>
      <c r="I49" s="16">
        <v>2041</v>
      </c>
      <c r="J49" s="64">
        <v>2.1810149028103742E-2</v>
      </c>
      <c r="N49" s="85"/>
      <c r="O49" s="29"/>
      <c r="P49" s="109"/>
      <c r="Q49" s="109"/>
      <c r="R49" s="109"/>
      <c r="S49" s="109"/>
      <c r="T49" s="17"/>
      <c r="U49" s="17"/>
      <c r="V49" s="16">
        <v>2041</v>
      </c>
      <c r="W49" s="64">
        <v>3.8984047894932816E-2</v>
      </c>
    </row>
    <row r="50" spans="1:23" x14ac:dyDescent="0.3">
      <c r="A50" s="85"/>
      <c r="B50" s="105"/>
      <c r="C50" s="108"/>
      <c r="D50" s="108"/>
      <c r="E50" s="108"/>
      <c r="F50" s="108"/>
      <c r="G50" s="85"/>
      <c r="H50" s="85"/>
      <c r="I50" s="16">
        <v>2042</v>
      </c>
      <c r="J50" s="64">
        <v>2.1596811224853907E-2</v>
      </c>
      <c r="N50" s="85"/>
      <c r="O50" s="29"/>
      <c r="P50" s="109"/>
      <c r="Q50" s="109"/>
      <c r="R50" s="109"/>
      <c r="S50" s="109"/>
      <c r="T50" s="17"/>
      <c r="U50" s="17"/>
      <c r="V50" s="16">
        <v>2042</v>
      </c>
      <c r="W50" s="64">
        <v>3.8645268586342096E-2</v>
      </c>
    </row>
    <row r="51" spans="1:23" x14ac:dyDescent="0.3">
      <c r="A51" s="85"/>
      <c r="B51" s="105"/>
      <c r="C51" s="108"/>
      <c r="D51" s="108"/>
      <c r="E51" s="108"/>
      <c r="F51" s="108"/>
      <c r="G51" s="85"/>
      <c r="H51" s="85"/>
      <c r="I51" s="16">
        <v>2043</v>
      </c>
      <c r="J51" s="64">
        <v>2.1387109393804504E-2</v>
      </c>
      <c r="N51" s="85"/>
      <c r="O51" s="29"/>
      <c r="P51" s="109"/>
      <c r="Q51" s="109"/>
      <c r="R51" s="109"/>
      <c r="S51" s="109"/>
      <c r="T51" s="17"/>
      <c r="U51" s="17"/>
      <c r="V51" s="16">
        <v>2043</v>
      </c>
      <c r="W51" s="64">
        <v>3.8305689962773393E-2</v>
      </c>
    </row>
    <row r="52" spans="1:23" x14ac:dyDescent="0.3">
      <c r="A52" s="85"/>
      <c r="B52" s="105"/>
      <c r="C52" s="108"/>
      <c r="D52" s="108"/>
      <c r="E52" s="108"/>
      <c r="F52" s="108"/>
      <c r="G52" s="85"/>
      <c r="H52" s="85"/>
      <c r="I52" s="16">
        <v>2044</v>
      </c>
      <c r="J52" s="64">
        <v>2.1180969816573691E-2</v>
      </c>
      <c r="N52" s="85"/>
      <c r="O52" s="29"/>
      <c r="P52" s="109"/>
      <c r="Q52" s="109"/>
      <c r="R52" s="109"/>
      <c r="S52" s="109"/>
      <c r="T52" s="17"/>
      <c r="U52" s="17"/>
      <c r="V52" s="16">
        <v>2044</v>
      </c>
      <c r="W52" s="64">
        <v>3.7965868204626663E-2</v>
      </c>
    </row>
    <row r="53" spans="1:23" x14ac:dyDescent="0.3">
      <c r="A53" s="85"/>
      <c r="B53" s="105"/>
      <c r="C53" s="108"/>
      <c r="D53" s="108"/>
      <c r="E53" s="108"/>
      <c r="F53" s="108"/>
      <c r="G53" s="85"/>
      <c r="H53" s="85"/>
      <c r="I53" s="16">
        <v>2045</v>
      </c>
      <c r="J53" s="64">
        <v>2.0978319727613215E-2</v>
      </c>
      <c r="N53" s="85"/>
      <c r="O53" s="29"/>
      <c r="P53" s="109"/>
      <c r="Q53" s="109"/>
      <c r="R53" s="109"/>
      <c r="S53" s="109"/>
      <c r="T53" s="17"/>
      <c r="U53" s="17"/>
      <c r="V53" s="16">
        <v>2045</v>
      </c>
      <c r="W53" s="64">
        <v>3.7626303417792828E-2</v>
      </c>
    </row>
    <row r="54" spans="1:23" x14ac:dyDescent="0.3">
      <c r="A54" s="85"/>
      <c r="B54" s="105"/>
      <c r="C54" s="108"/>
      <c r="D54" s="108"/>
      <c r="E54" s="108"/>
      <c r="F54" s="108"/>
      <c r="G54" s="85"/>
      <c r="H54" s="85"/>
      <c r="I54" s="16">
        <v>2046</v>
      </c>
      <c r="J54" s="64">
        <v>2.0779087387207351E-2</v>
      </c>
      <c r="N54" s="85"/>
      <c r="O54" s="29"/>
      <c r="P54" s="109"/>
      <c r="Q54" s="109"/>
      <c r="R54" s="109"/>
      <c r="S54" s="109"/>
      <c r="T54" s="17"/>
      <c r="U54" s="17"/>
      <c r="V54" s="16">
        <v>2046</v>
      </c>
      <c r="W54" s="64">
        <v>3.7287444292713356E-2</v>
      </c>
    </row>
    <row r="55" spans="1:23" x14ac:dyDescent="0.3">
      <c r="A55" s="85"/>
      <c r="B55" s="105"/>
      <c r="C55" s="108"/>
      <c r="D55" s="108"/>
      <c r="E55" s="108"/>
      <c r="F55" s="108"/>
      <c r="G55" s="85"/>
      <c r="H55" s="85"/>
      <c r="I55" s="16">
        <v>2047</v>
      </c>
      <c r="J55" s="64">
        <v>2.0583202142311574E-2</v>
      </c>
      <c r="N55" s="85"/>
      <c r="O55" s="29"/>
      <c r="P55" s="109"/>
      <c r="Q55" s="109"/>
      <c r="R55" s="109"/>
      <c r="S55" s="109"/>
      <c r="T55" s="17"/>
      <c r="U55" s="17"/>
      <c r="V55" s="16">
        <v>2047</v>
      </c>
      <c r="W55" s="64">
        <v>3.6949692435026105E-2</v>
      </c>
    </row>
    <row r="56" spans="1:23" x14ac:dyDescent="0.3">
      <c r="B56" s="85"/>
      <c r="C56" s="85"/>
      <c r="D56" s="85"/>
      <c r="E56" s="85"/>
      <c r="F56" s="85"/>
      <c r="G56" s="85"/>
      <c r="H56" s="85"/>
      <c r="I56" s="16">
        <v>2048</v>
      </c>
      <c r="J56" s="64">
        <v>2.039059447660363E-2</v>
      </c>
      <c r="N56" s="85"/>
      <c r="O56" s="17"/>
      <c r="P56" s="17"/>
      <c r="Q56" s="17"/>
      <c r="R56" s="17"/>
      <c r="S56" s="17"/>
      <c r="T56" s="17"/>
      <c r="U56" s="17"/>
      <c r="V56" s="16">
        <v>2048</v>
      </c>
      <c r="W56" s="64">
        <v>3.6613406381516445E-2</v>
      </c>
    </row>
    <row r="57" spans="1:23" ht="15" customHeight="1" x14ac:dyDescent="0.3">
      <c r="B57" s="241"/>
      <c r="C57" s="241"/>
      <c r="D57" s="241"/>
      <c r="E57" s="241"/>
      <c r="F57" s="110"/>
      <c r="G57" s="85"/>
      <c r="H57" s="85"/>
      <c r="I57" s="242" t="s">
        <v>163</v>
      </c>
      <c r="J57" s="242"/>
      <c r="N57" s="85"/>
      <c r="O57" s="242"/>
      <c r="P57" s="242"/>
      <c r="Q57" s="242"/>
      <c r="R57" s="242"/>
      <c r="S57" s="242"/>
      <c r="T57" s="17"/>
      <c r="U57" s="17"/>
      <c r="V57" s="242" t="s">
        <v>163</v>
      </c>
      <c r="W57" s="242"/>
    </row>
    <row r="58" spans="1:23" ht="11.25" customHeight="1" x14ac:dyDescent="0.3">
      <c r="B58" s="241"/>
      <c r="C58" s="241"/>
      <c r="D58" s="241"/>
      <c r="E58" s="241"/>
      <c r="F58" s="110"/>
      <c r="G58" s="85"/>
      <c r="H58" s="85"/>
      <c r="I58" s="242"/>
      <c r="J58" s="242"/>
      <c r="N58" s="85"/>
      <c r="O58" s="242"/>
      <c r="P58" s="242"/>
      <c r="Q58" s="242"/>
      <c r="R58" s="242"/>
      <c r="S58" s="242"/>
      <c r="T58" s="17"/>
      <c r="U58" s="17"/>
      <c r="V58" s="242"/>
      <c r="W58" s="242"/>
    </row>
    <row r="59" spans="1:23" x14ac:dyDescent="0.3">
      <c r="J59" s="111"/>
      <c r="W59" s="67"/>
    </row>
    <row r="60" spans="1:23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09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12"/>
    </row>
    <row r="61" spans="1:23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12"/>
    </row>
    <row r="62" spans="1:23" ht="38.4" customHeight="1" x14ac:dyDescent="0.3">
      <c r="A62" s="237" t="s">
        <v>164</v>
      </c>
      <c r="B62" s="237"/>
      <c r="C62" s="237"/>
      <c r="D62" s="237"/>
      <c r="E62" s="237"/>
      <c r="F62" s="237"/>
      <c r="G62" s="237"/>
      <c r="H62" s="237"/>
      <c r="I62" s="237"/>
      <c r="J62" s="237"/>
      <c r="K62" s="237"/>
      <c r="L62" s="237"/>
      <c r="M62" s="237"/>
      <c r="N62" s="237"/>
      <c r="O62" s="237"/>
      <c r="P62" s="237"/>
      <c r="Q62" s="237"/>
      <c r="R62" s="237"/>
      <c r="S62" s="237"/>
      <c r="T62" s="237"/>
      <c r="U62" s="237"/>
      <c r="V62" s="237"/>
      <c r="W62" s="237"/>
    </row>
    <row r="63" spans="1:23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23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</row>
    <row r="65" spans="1:23" ht="21" x14ac:dyDescent="0.4">
      <c r="A65" s="17"/>
      <c r="B65" s="234"/>
      <c r="C65" s="234"/>
      <c r="D65" s="234"/>
      <c r="E65" s="234"/>
      <c r="F65" s="234"/>
      <c r="G65" s="234"/>
      <c r="H65" s="234"/>
      <c r="I65" s="234"/>
      <c r="J65" s="234"/>
      <c r="K65" s="234"/>
      <c r="L65" s="234"/>
      <c r="M65" s="234"/>
      <c r="N65" s="234"/>
      <c r="O65" s="234"/>
      <c r="P65" s="234"/>
      <c r="Q65" s="234"/>
      <c r="R65" s="234"/>
      <c r="S65" s="234"/>
      <c r="T65" s="234"/>
      <c r="U65" s="234"/>
      <c r="V65" s="17"/>
      <c r="W65" s="17"/>
    </row>
    <row r="66" spans="1:23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</row>
    <row r="67" spans="1:23" ht="24.6" customHeight="1" x14ac:dyDescent="0.3">
      <c r="A67" s="17"/>
      <c r="B67" s="224"/>
      <c r="C67" s="238" t="s">
        <v>165</v>
      </c>
      <c r="D67" s="238"/>
      <c r="E67" s="238"/>
      <c r="F67" s="238"/>
      <c r="G67" s="238"/>
      <c r="H67" s="238"/>
      <c r="I67" s="55"/>
      <c r="J67" s="235"/>
      <c r="K67" s="235"/>
      <c r="L67" s="55"/>
      <c r="M67" s="236"/>
      <c r="N67" s="17"/>
      <c r="O67" s="17"/>
      <c r="P67" s="238" t="s">
        <v>166</v>
      </c>
      <c r="Q67" s="238"/>
      <c r="R67" s="238"/>
      <c r="S67" s="238"/>
      <c r="T67" s="238"/>
      <c r="U67" s="238"/>
      <c r="V67" s="17"/>
      <c r="W67" s="17"/>
    </row>
    <row r="68" spans="1:23" ht="24.6" customHeight="1" x14ac:dyDescent="0.3">
      <c r="A68" s="17"/>
      <c r="B68" s="224"/>
      <c r="C68" s="229" t="s">
        <v>167</v>
      </c>
      <c r="D68" s="231" t="s">
        <v>168</v>
      </c>
      <c r="E68" s="231"/>
      <c r="F68" s="231"/>
      <c r="G68" s="231"/>
      <c r="H68" s="232" t="s">
        <v>130</v>
      </c>
      <c r="I68" s="55"/>
      <c r="J68" s="55"/>
      <c r="K68" s="55"/>
      <c r="L68" s="55"/>
      <c r="M68" s="236"/>
      <c r="N68" s="17"/>
      <c r="O68" s="17"/>
      <c r="P68" s="229" t="s">
        <v>167</v>
      </c>
      <c r="Q68" s="231" t="s">
        <v>168</v>
      </c>
      <c r="R68" s="231"/>
      <c r="S68" s="231"/>
      <c r="T68" s="231"/>
      <c r="U68" s="232" t="s">
        <v>130</v>
      </c>
      <c r="V68" s="17"/>
      <c r="W68" s="17"/>
    </row>
    <row r="69" spans="1:23" ht="70.5" customHeight="1" x14ac:dyDescent="0.3">
      <c r="A69" s="17"/>
      <c r="B69" s="224"/>
      <c r="C69" s="230"/>
      <c r="D69" s="113" t="s">
        <v>16</v>
      </c>
      <c r="E69" s="113" t="s">
        <v>17</v>
      </c>
      <c r="F69" s="113" t="s">
        <v>169</v>
      </c>
      <c r="G69" s="114" t="s">
        <v>149</v>
      </c>
      <c r="H69" s="233"/>
      <c r="I69" s="115"/>
      <c r="J69" s="115"/>
      <c r="K69" s="115"/>
      <c r="L69" s="115"/>
      <c r="M69" s="236"/>
      <c r="N69" s="17"/>
      <c r="O69" s="17"/>
      <c r="P69" s="230"/>
      <c r="Q69" s="113" t="s">
        <v>16</v>
      </c>
      <c r="R69" s="113" t="s">
        <v>17</v>
      </c>
      <c r="S69" s="113" t="s">
        <v>169</v>
      </c>
      <c r="T69" s="114" t="s">
        <v>149</v>
      </c>
      <c r="U69" s="233"/>
      <c r="V69" s="17"/>
      <c r="W69" s="17"/>
    </row>
    <row r="70" spans="1:23" ht="21" x14ac:dyDescent="0.4">
      <c r="A70" s="17">
        <v>0</v>
      </c>
      <c r="B70" s="116"/>
      <c r="C70" s="117">
        <v>2017</v>
      </c>
      <c r="D70" s="118">
        <f>'Cálculo TPDA'!P25</f>
        <v>542.17060217774849</v>
      </c>
      <c r="E70" s="118">
        <f>'Cálculo TPDA'!Q25</f>
        <v>15.103024254629052</v>
      </c>
      <c r="F70" s="118">
        <f>'Cálculo TPDA'!R25</f>
        <v>23.074064833461051</v>
      </c>
      <c r="G70" s="118">
        <f>'Cálculo TPDA'!S25</f>
        <v>86.28301819542709</v>
      </c>
      <c r="H70" s="119">
        <f>SUM(D70:G70)</f>
        <v>666.63070946126572</v>
      </c>
      <c r="I70" s="120"/>
      <c r="J70" s="120"/>
      <c r="K70" s="120"/>
      <c r="L70" s="120"/>
      <c r="M70" s="68"/>
      <c r="N70" s="17"/>
      <c r="O70" s="17"/>
      <c r="P70" s="117">
        <v>2017</v>
      </c>
      <c r="Q70" s="118">
        <f>'Cálculo TPDA'!P21</f>
        <v>676.57959291918053</v>
      </c>
      <c r="R70" s="118">
        <f>'Cálculo TPDA'!Q21</f>
        <v>41.572962938407478</v>
      </c>
      <c r="S70" s="118">
        <f>'Cálculo TPDA'!R21</f>
        <v>25.921965126301131</v>
      </c>
      <c r="T70" s="118">
        <f>'Cálculo TPDA'!S21</f>
        <v>98.796923688921311</v>
      </c>
      <c r="U70" s="119">
        <f>SUM(Q70:T70)</f>
        <v>842.87144467281053</v>
      </c>
      <c r="V70" s="17"/>
      <c r="W70" s="17"/>
    </row>
    <row r="71" spans="1:23" ht="21" x14ac:dyDescent="0.4">
      <c r="A71" s="17">
        <v>1</v>
      </c>
      <c r="B71" s="116"/>
      <c r="C71" s="117">
        <v>2018</v>
      </c>
      <c r="D71" s="121">
        <f t="shared" ref="D71:G86" si="0">D$70*(1+$J26)^$A108</f>
        <v>557.29190509483203</v>
      </c>
      <c r="E71" s="121">
        <f t="shared" si="0"/>
        <v>15.524252192479199</v>
      </c>
      <c r="F71" s="121">
        <f t="shared" si="0"/>
        <v>23.717607516287668</v>
      </c>
      <c r="G71" s="121">
        <f t="shared" si="0"/>
        <v>88.689477803330249</v>
      </c>
      <c r="H71" s="119">
        <f>SUM(D71:G71)</f>
        <v>685.22324260692926</v>
      </c>
      <c r="I71" s="71"/>
      <c r="J71" s="71"/>
      <c r="K71" s="71"/>
      <c r="L71" s="71"/>
      <c r="M71" s="68"/>
      <c r="N71" s="17"/>
      <c r="O71" s="17"/>
      <c r="P71" s="117">
        <v>2018</v>
      </c>
      <c r="Q71" s="121">
        <f t="shared" ref="Q71:T86" si="1">Q$70*(1+$W26)^$A71</f>
        <v>706.31476707534523</v>
      </c>
      <c r="R71" s="121">
        <f t="shared" si="1"/>
        <v>43.400064001015188</v>
      </c>
      <c r="S71" s="121">
        <f t="shared" si="1"/>
        <v>27.061216377103584</v>
      </c>
      <c r="T71" s="121">
        <f t="shared" si="1"/>
        <v>103.13897562594198</v>
      </c>
      <c r="U71" s="119">
        <f>SUM(Q71:T71)</f>
        <v>879.91502307940596</v>
      </c>
      <c r="V71" s="17"/>
      <c r="W71" s="17"/>
    </row>
    <row r="72" spans="1:23" ht="21" x14ac:dyDescent="0.4">
      <c r="A72" s="17">
        <v>2</v>
      </c>
      <c r="B72" s="116"/>
      <c r="C72" s="117">
        <v>2019</v>
      </c>
      <c r="D72" s="121">
        <f t="shared" si="0"/>
        <v>572.48218491626994</v>
      </c>
      <c r="E72" s="121">
        <f t="shared" si="0"/>
        <v>15.947401591683557</v>
      </c>
      <c r="F72" s="121">
        <f t="shared" si="0"/>
        <v>24.364085765072101</v>
      </c>
      <c r="G72" s="121">
        <f t="shared" si="0"/>
        <v>91.106914648784766</v>
      </c>
      <c r="H72" s="119">
        <f t="shared" ref="H72:H101" si="2">SUM(D72:G72)</f>
        <v>703.90058692181037</v>
      </c>
      <c r="I72" s="71"/>
      <c r="J72" s="71"/>
      <c r="K72" s="71"/>
      <c r="L72" s="71"/>
      <c r="M72" s="68"/>
      <c r="N72" s="17"/>
      <c r="O72" s="17"/>
      <c r="P72" s="117">
        <v>2019</v>
      </c>
      <c r="Q72" s="121">
        <f t="shared" si="1"/>
        <v>737.43266397557238</v>
      </c>
      <c r="R72" s="121">
        <f t="shared" si="1"/>
        <v>45.31212754548698</v>
      </c>
      <c r="S72" s="121">
        <f t="shared" si="1"/>
        <v>28.253444234244821</v>
      </c>
      <c r="T72" s="121">
        <f t="shared" si="1"/>
        <v>107.68293840221612</v>
      </c>
      <c r="U72" s="119">
        <f t="shared" ref="U72:U101" si="3">SUM(Q72:T72)</f>
        <v>918.68117415752033</v>
      </c>
      <c r="V72" s="17"/>
      <c r="W72" s="17"/>
    </row>
    <row r="73" spans="1:23" ht="21" x14ac:dyDescent="0.4">
      <c r="A73" s="17">
        <v>3</v>
      </c>
      <c r="B73" s="116"/>
      <c r="C73" s="117">
        <v>2020</v>
      </c>
      <c r="D73" s="121">
        <f t="shared" si="0"/>
        <v>587.73284101220679</v>
      </c>
      <c r="E73" s="121">
        <f t="shared" si="0"/>
        <v>16.372232868021236</v>
      </c>
      <c r="F73" s="121">
        <f t="shared" si="0"/>
        <v>25.013133548365776</v>
      </c>
      <c r="G73" s="121">
        <f t="shared" si="0"/>
        <v>93.533959996010211</v>
      </c>
      <c r="H73" s="119">
        <f t="shared" si="2"/>
        <v>722.65216742460404</v>
      </c>
      <c r="I73" s="71"/>
      <c r="J73" s="71"/>
      <c r="K73" s="71"/>
      <c r="L73" s="71"/>
      <c r="M73" s="68"/>
      <c r="N73" s="17"/>
      <c r="O73" s="17"/>
      <c r="P73" s="117">
        <v>2020</v>
      </c>
      <c r="Q73" s="121">
        <f t="shared" si="1"/>
        <v>769.90531525762913</v>
      </c>
      <c r="R73" s="121">
        <f t="shared" si="1"/>
        <v>47.307435033902514</v>
      </c>
      <c r="S73" s="121">
        <f t="shared" si="1"/>
        <v>29.497577138786273</v>
      </c>
      <c r="T73" s="121">
        <f t="shared" si="1"/>
        <v>112.42472796292128</v>
      </c>
      <c r="U73" s="119">
        <f t="shared" si="3"/>
        <v>959.1350553932391</v>
      </c>
      <c r="V73" s="17"/>
      <c r="W73" s="17"/>
    </row>
    <row r="74" spans="1:23" ht="21" x14ac:dyDescent="0.4">
      <c r="A74" s="17">
        <v>4</v>
      </c>
      <c r="B74" s="116"/>
      <c r="C74" s="117">
        <v>2021</v>
      </c>
      <c r="D74" s="121">
        <f t="shared" si="0"/>
        <v>603.03559652270019</v>
      </c>
      <c r="E74" s="121">
        <f t="shared" si="0"/>
        <v>16.798515456397116</v>
      </c>
      <c r="F74" s="121">
        <f t="shared" si="0"/>
        <v>25.664398613940037</v>
      </c>
      <c r="G74" s="121">
        <f t="shared" si="0"/>
        <v>95.969296635157605</v>
      </c>
      <c r="H74" s="119">
        <f t="shared" si="2"/>
        <v>741.46780722819494</v>
      </c>
      <c r="I74" s="71"/>
      <c r="J74" s="71"/>
      <c r="K74" s="71"/>
      <c r="L74" s="71"/>
      <c r="M74" s="68"/>
      <c r="N74" s="17"/>
      <c r="O74" s="17"/>
      <c r="P74" s="117">
        <v>2021</v>
      </c>
      <c r="Q74" s="121">
        <f t="shared" si="1"/>
        <v>803.70189024129502</v>
      </c>
      <c r="R74" s="121">
        <f t="shared" si="1"/>
        <v>49.384092050971141</v>
      </c>
      <c r="S74" s="121">
        <f t="shared" si="1"/>
        <v>30.79243386707612</v>
      </c>
      <c r="T74" s="121">
        <f t="shared" si="1"/>
        <v>117.35984228583732</v>
      </c>
      <c r="U74" s="119">
        <f t="shared" si="3"/>
        <v>1001.2382584451797</v>
      </c>
      <c r="V74" s="17"/>
      <c r="W74" s="17"/>
    </row>
    <row r="75" spans="1:23" ht="21" x14ac:dyDescent="0.4">
      <c r="A75" s="17">
        <v>5</v>
      </c>
      <c r="B75" s="116"/>
      <c r="C75" s="117">
        <v>2022</v>
      </c>
      <c r="D75" s="121">
        <f t="shared" si="0"/>
        <v>618.38249613004484</v>
      </c>
      <c r="E75" s="121">
        <f t="shared" si="0"/>
        <v>17.226027748786393</v>
      </c>
      <c r="F75" s="121">
        <f t="shared" si="0"/>
        <v>26.31754239397921</v>
      </c>
      <c r="G75" s="121">
        <f t="shared" si="0"/>
        <v>98.41165852778893</v>
      </c>
      <c r="H75" s="119">
        <f t="shared" si="2"/>
        <v>760.3377248005994</v>
      </c>
      <c r="I75" s="71"/>
      <c r="J75" s="71"/>
      <c r="K75" s="71"/>
      <c r="L75" s="71"/>
      <c r="M75" s="68"/>
      <c r="N75" s="17"/>
      <c r="O75" s="17"/>
      <c r="P75" s="117">
        <v>2022</v>
      </c>
      <c r="Q75" s="121">
        <f t="shared" si="1"/>
        <v>838.78886063800644</v>
      </c>
      <c r="R75" s="121">
        <f t="shared" si="1"/>
        <v>51.540038424744971</v>
      </c>
      <c r="S75" s="121">
        <f t="shared" si="1"/>
        <v>32.136729841311571</v>
      </c>
      <c r="T75" s="121">
        <f t="shared" si="1"/>
        <v>122.48338543292336</v>
      </c>
      <c r="U75" s="119">
        <f t="shared" si="3"/>
        <v>1044.9490143369862</v>
      </c>
      <c r="V75" s="17"/>
      <c r="W75" s="17"/>
    </row>
    <row r="76" spans="1:23" ht="21" x14ac:dyDescent="0.4">
      <c r="A76" s="17">
        <v>6</v>
      </c>
      <c r="B76" s="116"/>
      <c r="C76" s="117">
        <v>2023</v>
      </c>
      <c r="D76" s="121">
        <f t="shared" si="0"/>
        <v>633.76590281247832</v>
      </c>
      <c r="E76" s="121">
        <f t="shared" si="0"/>
        <v>17.65455700380388</v>
      </c>
      <c r="F76" s="121">
        <f t="shared" si="0"/>
        <v>26.972239866922596</v>
      </c>
      <c r="G76" s="121">
        <f t="shared" si="0"/>
        <v>100.85983029024996</v>
      </c>
      <c r="H76" s="119">
        <f>SUM(D76:G76)</f>
        <v>779.25252997345478</v>
      </c>
      <c r="I76" s="71"/>
      <c r="J76" s="71"/>
      <c r="K76" s="71"/>
      <c r="L76" s="71"/>
      <c r="M76" s="68"/>
      <c r="N76" s="17"/>
      <c r="O76" s="17"/>
      <c r="P76" s="117">
        <v>2023</v>
      </c>
      <c r="Q76" s="121">
        <f t="shared" si="1"/>
        <v>875.13019667477738</v>
      </c>
      <c r="R76" s="121">
        <f t="shared" si="1"/>
        <v>53.773060277606803</v>
      </c>
      <c r="S76" s="121">
        <f t="shared" si="1"/>
        <v>33.529084643684236</v>
      </c>
      <c r="T76" s="121">
        <f t="shared" si="1"/>
        <v>127.79009618913618</v>
      </c>
      <c r="U76" s="119">
        <f t="shared" si="3"/>
        <v>1090.2224377852044</v>
      </c>
      <c r="V76" s="17"/>
      <c r="W76" s="17"/>
    </row>
    <row r="77" spans="1:23" ht="21" x14ac:dyDescent="0.4">
      <c r="A77" s="17">
        <v>7</v>
      </c>
      <c r="B77" s="116"/>
      <c r="C77" s="117">
        <v>2024</v>
      </c>
      <c r="D77" s="121">
        <f t="shared" si="0"/>
        <v>649.17849370286763</v>
      </c>
      <c r="E77" s="121">
        <f t="shared" si="0"/>
        <v>18.083899231341167</v>
      </c>
      <c r="F77" s="121">
        <f t="shared" si="0"/>
        <v>27.628179381215674</v>
      </c>
      <c r="G77" s="121">
        <f t="shared" si="0"/>
        <v>103.31264653460649</v>
      </c>
      <c r="H77" s="119">
        <f t="shared" si="2"/>
        <v>798.20321885003102</v>
      </c>
      <c r="I77" s="71"/>
      <c r="J77" s="71"/>
      <c r="K77" s="71"/>
      <c r="L77" s="71"/>
      <c r="M77" s="68"/>
      <c r="N77" s="17"/>
      <c r="O77" s="17"/>
      <c r="P77" s="117">
        <v>2024</v>
      </c>
      <c r="Q77" s="121">
        <f t="shared" si="1"/>
        <v>912.68758808439429</v>
      </c>
      <c r="R77" s="121">
        <f t="shared" si="1"/>
        <v>56.080803605185679</v>
      </c>
      <c r="S77" s="121">
        <f t="shared" si="1"/>
        <v>34.96803048323342</v>
      </c>
      <c r="T77" s="121">
        <f t="shared" si="1"/>
        <v>133.27438033232363</v>
      </c>
      <c r="U77" s="119">
        <f t="shared" si="3"/>
        <v>1137.010802505137</v>
      </c>
      <c r="V77" s="17"/>
      <c r="W77" s="17"/>
    </row>
    <row r="78" spans="1:23" ht="21" x14ac:dyDescent="0.4">
      <c r="A78" s="17">
        <v>8</v>
      </c>
      <c r="B78" s="116"/>
      <c r="C78" s="117">
        <v>2025</v>
      </c>
      <c r="D78" s="121">
        <f t="shared" si="0"/>
        <v>664.61325516816373</v>
      </c>
      <c r="E78" s="121">
        <f t="shared" si="0"/>
        <v>18.513859055496951</v>
      </c>
      <c r="F78" s="121">
        <f t="shared" si="0"/>
        <v>28.285062445898117</v>
      </c>
      <c r="G78" s="121">
        <f t="shared" si="0"/>
        <v>105.76899108557055</v>
      </c>
      <c r="H78" s="119">
        <f t="shared" si="2"/>
        <v>817.18116775512931</v>
      </c>
      <c r="I78" s="71"/>
      <c r="J78" s="71"/>
      <c r="K78" s="71"/>
      <c r="L78" s="71"/>
      <c r="M78" s="68"/>
      <c r="N78" s="17"/>
      <c r="O78" s="17"/>
      <c r="P78" s="117">
        <v>2025</v>
      </c>
      <c r="Q78" s="121">
        <f t="shared" si="1"/>
        <v>951.42068358712504</v>
      </c>
      <c r="R78" s="121">
        <f t="shared" si="1"/>
        <v>58.460788991498042</v>
      </c>
      <c r="S78" s="121">
        <f t="shared" si="1"/>
        <v>36.452021371169366</v>
      </c>
      <c r="T78" s="121">
        <f t="shared" si="1"/>
        <v>138.93034560332478</v>
      </c>
      <c r="U78" s="119">
        <f t="shared" si="3"/>
        <v>1185.2638395531171</v>
      </c>
      <c r="V78" s="17"/>
      <c r="W78" s="17"/>
    </row>
    <row r="79" spans="1:23" ht="21" x14ac:dyDescent="0.4">
      <c r="A79" s="17">
        <v>9</v>
      </c>
      <c r="B79" s="116"/>
      <c r="C79" s="117">
        <v>2026</v>
      </c>
      <c r="D79" s="121">
        <f t="shared" si="0"/>
        <v>680.06347721713632</v>
      </c>
      <c r="E79" s="121">
        <f t="shared" si="0"/>
        <v>18.944249558795644</v>
      </c>
      <c r="F79" s="121">
        <f t="shared" si="0"/>
        <v>28.942603492604459</v>
      </c>
      <c r="G79" s="121">
        <f t="shared" si="0"/>
        <v>108.22779609052698</v>
      </c>
      <c r="H79" s="119">
        <f t="shared" si="2"/>
        <v>836.17812635906341</v>
      </c>
      <c r="I79" s="71"/>
      <c r="J79" s="71"/>
      <c r="K79" s="71"/>
      <c r="L79" s="71"/>
      <c r="M79" s="68"/>
      <c r="N79" s="17"/>
      <c r="O79" s="17"/>
      <c r="P79" s="117">
        <v>2026</v>
      </c>
      <c r="Q79" s="121">
        <f t="shared" si="1"/>
        <v>991.2873428362459</v>
      </c>
      <c r="R79" s="121">
        <f t="shared" si="1"/>
        <v>60.910427089938004</v>
      </c>
      <c r="S79" s="121">
        <f t="shared" si="1"/>
        <v>37.979442773726042</v>
      </c>
      <c r="T79" s="121">
        <f t="shared" si="1"/>
        <v>144.75183849608797</v>
      </c>
      <c r="U79" s="119">
        <f t="shared" si="3"/>
        <v>1234.9290511959978</v>
      </c>
      <c r="V79" s="17"/>
      <c r="W79" s="17"/>
    </row>
    <row r="80" spans="1:23" ht="21" x14ac:dyDescent="0.4">
      <c r="A80" s="17">
        <v>10</v>
      </c>
      <c r="B80" s="116"/>
      <c r="C80" s="117">
        <v>2027</v>
      </c>
      <c r="D80" s="121">
        <f t="shared" si="0"/>
        <v>695.52274733587285</v>
      </c>
      <c r="E80" s="121">
        <f t="shared" si="0"/>
        <v>19.374892110465375</v>
      </c>
      <c r="F80" s="121">
        <f t="shared" si="0"/>
        <v>29.600529613210991</v>
      </c>
      <c r="G80" s="121">
        <f t="shared" si="0"/>
        <v>110.68804103849202</v>
      </c>
      <c r="H80" s="119">
        <f t="shared" si="2"/>
        <v>855.1862100980411</v>
      </c>
      <c r="I80" s="71"/>
      <c r="J80" s="71"/>
      <c r="K80" s="71"/>
      <c r="L80" s="71"/>
      <c r="M80" s="68"/>
      <c r="N80" s="17"/>
      <c r="O80" s="17"/>
      <c r="P80" s="117">
        <v>2027</v>
      </c>
      <c r="Q80" s="121">
        <f t="shared" si="1"/>
        <v>1032.2438952747859</v>
      </c>
      <c r="R80" s="121">
        <f t="shared" si="1"/>
        <v>63.427034528932623</v>
      </c>
      <c r="S80" s="121">
        <f t="shared" si="1"/>
        <v>39.548621529805047</v>
      </c>
      <c r="T80" s="121">
        <f t="shared" si="1"/>
        <v>150.73248205699284</v>
      </c>
      <c r="U80" s="119">
        <f t="shared" si="3"/>
        <v>1285.9520333905166</v>
      </c>
      <c r="V80" s="17"/>
      <c r="W80" s="17"/>
    </row>
    <row r="81" spans="1:23" ht="21" x14ac:dyDescent="0.4">
      <c r="A81" s="17">
        <v>11</v>
      </c>
      <c r="B81" s="116"/>
      <c r="C81" s="117">
        <v>2028</v>
      </c>
      <c r="D81" s="121">
        <f t="shared" si="0"/>
        <v>710.98494384248215</v>
      </c>
      <c r="E81" s="121">
        <f t="shared" si="0"/>
        <v>19.805616181322691</v>
      </c>
      <c r="F81" s="121">
        <f t="shared" si="0"/>
        <v>30.258580277020776</v>
      </c>
      <c r="G81" s="121">
        <f t="shared" si="0"/>
        <v>113.14875170255648</v>
      </c>
      <c r="H81" s="119">
        <f t="shared" si="2"/>
        <v>874.19789200338209</v>
      </c>
      <c r="I81" s="71"/>
      <c r="J81" s="71"/>
      <c r="K81" s="71"/>
      <c r="L81" s="71"/>
      <c r="M81" s="68"/>
      <c r="N81" s="17"/>
      <c r="O81" s="17"/>
      <c r="P81" s="117">
        <v>2028</v>
      </c>
      <c r="Q81" s="121">
        <f t="shared" si="1"/>
        <v>1074.2454009131222</v>
      </c>
      <c r="R81" s="121">
        <f t="shared" si="1"/>
        <v>66.007849935625586</v>
      </c>
      <c r="S81" s="121">
        <f t="shared" si="1"/>
        <v>41.157835842213601</v>
      </c>
      <c r="T81" s="121">
        <f t="shared" si="1"/>
        <v>156.86571396466317</v>
      </c>
      <c r="U81" s="119">
        <f t="shared" si="3"/>
        <v>1338.2768006556248</v>
      </c>
      <c r="V81" s="17"/>
      <c r="W81" s="17"/>
    </row>
    <row r="82" spans="1:23" ht="21" x14ac:dyDescent="0.4">
      <c r="A82" s="17">
        <v>12</v>
      </c>
      <c r="B82" s="116"/>
      <c r="C82" s="117">
        <v>2029</v>
      </c>
      <c r="D82" s="121">
        <f t="shared" si="0"/>
        <v>726.44422884458288</v>
      </c>
      <c r="E82" s="121">
        <f t="shared" si="0"/>
        <v>20.236259147592197</v>
      </c>
      <c r="F82" s="121">
        <f t="shared" si="0"/>
        <v>30.916507031043636</v>
      </c>
      <c r="G82" s="121">
        <f t="shared" si="0"/>
        <v>115.60899901911469</v>
      </c>
      <c r="H82" s="119">
        <f t="shared" si="2"/>
        <v>893.20599404233349</v>
      </c>
      <c r="I82" s="71"/>
      <c r="J82" s="71"/>
      <c r="K82" s="71"/>
      <c r="L82" s="71"/>
      <c r="M82" s="68"/>
      <c r="N82" s="17"/>
      <c r="O82" s="17"/>
      <c r="P82" s="117">
        <v>2029</v>
      </c>
      <c r="Q82" s="121">
        <f t="shared" si="1"/>
        <v>1117.2459086501819</v>
      </c>
      <c r="R82" s="121">
        <f t="shared" si="1"/>
        <v>68.650049808625639</v>
      </c>
      <c r="S82" s="121">
        <f t="shared" si="1"/>
        <v>42.805325174790106</v>
      </c>
      <c r="T82" s="121">
        <f t="shared" si="1"/>
        <v>163.14482425108685</v>
      </c>
      <c r="U82" s="119">
        <f t="shared" si="3"/>
        <v>1391.8461078846847</v>
      </c>
      <c r="V82" s="17"/>
      <c r="W82" s="17"/>
    </row>
    <row r="83" spans="1:23" ht="21" x14ac:dyDescent="0.4">
      <c r="A83" s="17">
        <v>13</v>
      </c>
      <c r="B83" s="116"/>
      <c r="C83" s="117">
        <v>2030</v>
      </c>
      <c r="D83" s="121">
        <f t="shared" si="0"/>
        <v>741.89504087572107</v>
      </c>
      <c r="E83" s="121">
        <f t="shared" si="0"/>
        <v>20.666666085782271</v>
      </c>
      <c r="F83" s="121">
        <f t="shared" si="0"/>
        <v>31.574073186611805</v>
      </c>
      <c r="G83" s="121">
        <f t="shared" si="0"/>
        <v>118.06789791599688</v>
      </c>
      <c r="H83" s="119">
        <f t="shared" si="2"/>
        <v>912.20367806411207</v>
      </c>
      <c r="I83" s="71"/>
      <c r="J83" s="71"/>
      <c r="K83" s="71"/>
      <c r="L83" s="71"/>
      <c r="M83" s="68"/>
      <c r="N83" s="17"/>
      <c r="O83" s="17"/>
      <c r="P83" s="117">
        <v>2030</v>
      </c>
      <c r="Q83" s="121">
        <f t="shared" si="1"/>
        <v>1161.1987083948754</v>
      </c>
      <c r="R83" s="121">
        <f t="shared" si="1"/>
        <v>71.350764009805602</v>
      </c>
      <c r="S83" s="121">
        <f t="shared" si="1"/>
        <v>44.489299911996433</v>
      </c>
      <c r="T83" s="121">
        <f t="shared" si="1"/>
        <v>169.56299211742041</v>
      </c>
      <c r="U83" s="119">
        <f t="shared" si="3"/>
        <v>1446.6017644340977</v>
      </c>
      <c r="V83" s="17"/>
      <c r="W83" s="17"/>
    </row>
    <row r="84" spans="1:23" ht="21" x14ac:dyDescent="0.4">
      <c r="A84" s="17">
        <v>14</v>
      </c>
      <c r="B84" s="116"/>
      <c r="C84" s="117">
        <v>2031</v>
      </c>
      <c r="D84" s="121">
        <f t="shared" si="0"/>
        <v>757.33208727964143</v>
      </c>
      <c r="E84" s="121">
        <f t="shared" si="0"/>
        <v>21.096689560536827</v>
      </c>
      <c r="F84" s="121">
        <f t="shared" si="0"/>
        <v>32.231053495264597</v>
      </c>
      <c r="G84" s="121">
        <f t="shared" si="0"/>
        <v>120.52460610047429</v>
      </c>
      <c r="H84" s="119">
        <f t="shared" si="2"/>
        <v>931.18443643591718</v>
      </c>
      <c r="I84" s="71"/>
      <c r="J84" s="71"/>
      <c r="K84" s="71"/>
      <c r="L84" s="71"/>
      <c r="M84" s="68"/>
      <c r="N84" s="17"/>
      <c r="O84" s="17"/>
      <c r="P84" s="117">
        <v>2031</v>
      </c>
      <c r="Q84" s="121">
        <f t="shared" si="1"/>
        <v>1206.0565738744533</v>
      </c>
      <c r="R84" s="121">
        <f t="shared" si="1"/>
        <v>74.107090683851951</v>
      </c>
      <c r="S84" s="121">
        <f t="shared" si="1"/>
        <v>46.207950661695925</v>
      </c>
      <c r="T84" s="121">
        <f t="shared" si="1"/>
        <v>176.11332138985998</v>
      </c>
      <c r="U84" s="119">
        <f t="shared" si="3"/>
        <v>1502.4849366098613</v>
      </c>
      <c r="V84" s="17"/>
      <c r="W84" s="17"/>
    </row>
    <row r="85" spans="1:23" ht="21" x14ac:dyDescent="0.4">
      <c r="A85" s="17">
        <v>15</v>
      </c>
      <c r="B85" s="116"/>
      <c r="C85" s="117">
        <v>2032</v>
      </c>
      <c r="D85" s="121">
        <f t="shared" si="0"/>
        <v>772.75033640452307</v>
      </c>
      <c r="E85" s="121">
        <f t="shared" si="0"/>
        <v>21.526189407193318</v>
      </c>
      <c r="F85" s="121">
        <f t="shared" si="0"/>
        <v>32.887233816545347</v>
      </c>
      <c r="G85" s="121">
        <f t="shared" si="0"/>
        <v>122.97832281702109</v>
      </c>
      <c r="H85" s="119">
        <f t="shared" si="2"/>
        <v>950.14208244528277</v>
      </c>
      <c r="I85" s="71"/>
      <c r="J85" s="71"/>
      <c r="K85" s="71"/>
      <c r="L85" s="71"/>
      <c r="M85" s="68"/>
      <c r="N85" s="17"/>
      <c r="O85" s="17"/>
      <c r="P85" s="117">
        <v>2032</v>
      </c>
      <c r="Q85" s="121">
        <f t="shared" si="1"/>
        <v>1251.7719936229905</v>
      </c>
      <c r="R85" s="121">
        <f t="shared" si="1"/>
        <v>76.916110451533143</v>
      </c>
      <c r="S85" s="121">
        <f t="shared" si="1"/>
        <v>47.959457105073604</v>
      </c>
      <c r="T85" s="121">
        <f t="shared" si="1"/>
        <v>182.78887424952586</v>
      </c>
      <c r="U85" s="119">
        <f t="shared" si="3"/>
        <v>1559.4364354291231</v>
      </c>
      <c r="V85" s="17"/>
      <c r="W85" s="17"/>
    </row>
    <row r="86" spans="1:23" ht="21" x14ac:dyDescent="0.4">
      <c r="A86" s="17">
        <v>16</v>
      </c>
      <c r="B86" s="116"/>
      <c r="C86" s="117">
        <v>2033</v>
      </c>
      <c r="D86" s="121">
        <f t="shared" si="0"/>
        <v>788.14500966301728</v>
      </c>
      <c r="E86" s="121">
        <f t="shared" si="0"/>
        <v>21.955032510602493</v>
      </c>
      <c r="F86" s="121">
        <f t="shared" si="0"/>
        <v>33.542410780087138</v>
      </c>
      <c r="G86" s="121">
        <f t="shared" si="0"/>
        <v>125.42828758371979</v>
      </c>
      <c r="H86" s="119">
        <f t="shared" si="2"/>
        <v>969.07074053742667</v>
      </c>
      <c r="I86" s="71"/>
      <c r="J86" s="71"/>
      <c r="K86" s="71"/>
      <c r="L86" s="71"/>
      <c r="M86" s="68"/>
      <c r="N86" s="17"/>
      <c r="O86" s="17"/>
      <c r="P86" s="117">
        <v>2033</v>
      </c>
      <c r="Q86" s="121">
        <f t="shared" si="1"/>
        <v>1298.2973882124109</v>
      </c>
      <c r="R86" s="121">
        <f t="shared" si="1"/>
        <v>79.774899757630067</v>
      </c>
      <c r="S86" s="121">
        <f t="shared" si="1"/>
        <v>49.741996319463453</v>
      </c>
      <c r="T86" s="121">
        <f t="shared" si="1"/>
        <v>189.58270295342678</v>
      </c>
      <c r="U86" s="119">
        <f t="shared" si="3"/>
        <v>1617.3969872429311</v>
      </c>
      <c r="V86" s="17"/>
      <c r="W86" s="17"/>
    </row>
    <row r="87" spans="1:23" ht="21" x14ac:dyDescent="0.4">
      <c r="A87" s="17">
        <v>17</v>
      </c>
      <c r="B87" s="116"/>
      <c r="C87" s="117">
        <v>2034</v>
      </c>
      <c r="D87" s="121">
        <f t="shared" ref="D87:G101" si="4">D$70*(1+$J42)^$A124</f>
        <v>803.51157350773667</v>
      </c>
      <c r="E87" s="121">
        <f t="shared" si="4"/>
        <v>22.383092581592869</v>
      </c>
      <c r="F87" s="121">
        <f t="shared" si="4"/>
        <v>34.196391444100215</v>
      </c>
      <c r="G87" s="121">
        <f t="shared" si="4"/>
        <v>127.87377891521112</v>
      </c>
      <c r="H87" s="119">
        <f t="shared" si="2"/>
        <v>987.96483644864088</v>
      </c>
      <c r="I87" s="71"/>
      <c r="J87" s="71"/>
      <c r="K87" s="71"/>
      <c r="L87" s="71"/>
      <c r="M87" s="68"/>
      <c r="N87" s="17"/>
      <c r="O87" s="17"/>
      <c r="P87" s="117">
        <v>2034</v>
      </c>
      <c r="Q87" s="121">
        <f t="shared" ref="Q87:T101" si="5">Q$70*(1+$W42)^$A87</f>
        <v>1345.5853123099644</v>
      </c>
      <c r="R87" s="121">
        <f t="shared" si="5"/>
        <v>82.680543286515885</v>
      </c>
      <c r="S87" s="121">
        <f t="shared" si="5"/>
        <v>51.553750519827545</v>
      </c>
      <c r="T87" s="121">
        <f t="shared" si="5"/>
        <v>196.48787933972011</v>
      </c>
      <c r="U87" s="119">
        <f t="shared" si="3"/>
        <v>1676.307485456028</v>
      </c>
      <c r="V87" s="17"/>
      <c r="W87" s="17"/>
    </row>
    <row r="88" spans="1:23" ht="21" x14ac:dyDescent="0.4">
      <c r="A88" s="17">
        <v>18</v>
      </c>
      <c r="B88" s="116"/>
      <c r="C88" s="117">
        <v>2035</v>
      </c>
      <c r="D88" s="121">
        <f t="shared" si="4"/>
        <v>818.8457313665665</v>
      </c>
      <c r="E88" s="121">
        <f t="shared" si="4"/>
        <v>22.810249932316012</v>
      </c>
      <c r="F88" s="121">
        <f t="shared" si="4"/>
        <v>34.848992952149466</v>
      </c>
      <c r="G88" s="121">
        <f t="shared" si="4"/>
        <v>130.31411303924983</v>
      </c>
      <c r="H88" s="119">
        <f t="shared" si="2"/>
        <v>1006.8190872902818</v>
      </c>
      <c r="I88" s="71"/>
      <c r="J88" s="71"/>
      <c r="K88" s="71"/>
      <c r="L88" s="71"/>
      <c r="M88" s="68"/>
      <c r="N88" s="17"/>
      <c r="O88" s="17"/>
      <c r="P88" s="117">
        <v>2035</v>
      </c>
      <c r="Q88" s="121">
        <f t="shared" si="5"/>
        <v>1393.5886406140557</v>
      </c>
      <c r="R88" s="121">
        <f t="shared" si="5"/>
        <v>85.630145387128735</v>
      </c>
      <c r="S88" s="121">
        <f t="shared" si="5"/>
        <v>53.392914182562613</v>
      </c>
      <c r="T88" s="121">
        <f t="shared" si="5"/>
        <v>203.49752197882358</v>
      </c>
      <c r="U88" s="119">
        <f t="shared" si="3"/>
        <v>1736.1092221625709</v>
      </c>
      <c r="V88" s="17"/>
      <c r="W88" s="17"/>
    </row>
    <row r="89" spans="1:23" ht="21" x14ac:dyDescent="0.4">
      <c r="A89" s="17">
        <v>19</v>
      </c>
      <c r="B89" s="116"/>
      <c r="C89" s="117">
        <v>2036</v>
      </c>
      <c r="D89" s="121">
        <f t="shared" si="4"/>
        <v>834.14341557677426</v>
      </c>
      <c r="E89" s="121">
        <f t="shared" si="4"/>
        <v>23.23639125155832</v>
      </c>
      <c r="F89" s="121">
        <f t="shared" si="4"/>
        <v>35.500042189880766</v>
      </c>
      <c r="G89" s="121">
        <f t="shared" si="4"/>
        <v>132.74864261306931</v>
      </c>
      <c r="H89" s="119">
        <f t="shared" si="2"/>
        <v>1025.6284916312827</v>
      </c>
      <c r="I89" s="71"/>
      <c r="J89" s="71"/>
      <c r="K89" s="71"/>
      <c r="L89" s="71"/>
      <c r="M89" s="68"/>
      <c r="N89" s="17"/>
      <c r="O89" s="17"/>
      <c r="P89" s="117">
        <v>2036</v>
      </c>
      <c r="Q89" s="121">
        <f t="shared" si="5"/>
        <v>1442.2607371314409</v>
      </c>
      <c r="R89" s="121">
        <f t="shared" si="5"/>
        <v>88.620840474341549</v>
      </c>
      <c r="S89" s="121">
        <f t="shared" si="5"/>
        <v>55.257700531060024</v>
      </c>
      <c r="T89" s="121">
        <f t="shared" si="5"/>
        <v>210.60482089196464</v>
      </c>
      <c r="U89" s="119">
        <f t="shared" si="3"/>
        <v>1796.7440990288071</v>
      </c>
      <c r="V89" s="17"/>
      <c r="W89" s="17"/>
    </row>
    <row r="90" spans="1:23" ht="21" x14ac:dyDescent="0.4">
      <c r="A90" s="17">
        <v>20</v>
      </c>
      <c r="B90" s="116"/>
      <c r="C90" s="117">
        <v>2037</v>
      </c>
      <c r="D90" s="121">
        <f t="shared" si="4"/>
        <v>849.40077935223508</v>
      </c>
      <c r="E90" s="121">
        <f t="shared" si="4"/>
        <v>23.661409380975336</v>
      </c>
      <c r="F90" s="121">
        <f t="shared" si="4"/>
        <v>36.149375443156764</v>
      </c>
      <c r="G90" s="121">
        <f t="shared" si="4"/>
        <v>135.17675544501651</v>
      </c>
      <c r="H90" s="119">
        <f t="shared" si="2"/>
        <v>1044.3883196213837</v>
      </c>
      <c r="I90" s="71"/>
      <c r="J90" s="71"/>
      <c r="K90" s="71"/>
      <c r="L90" s="71"/>
      <c r="M90" s="68"/>
      <c r="N90" s="17"/>
      <c r="O90" s="17"/>
      <c r="P90" s="117">
        <v>2037</v>
      </c>
      <c r="Q90" s="121">
        <f t="shared" si="5"/>
        <v>1491.5556076134419</v>
      </c>
      <c r="R90" s="121">
        <f t="shared" si="5"/>
        <v>91.649802395524731</v>
      </c>
      <c r="S90" s="121">
        <f t="shared" si="5"/>
        <v>57.14634737603307</v>
      </c>
      <c r="T90" s="121">
        <f t="shared" si="5"/>
        <v>217.80305981054116</v>
      </c>
      <c r="U90" s="119">
        <f t="shared" si="3"/>
        <v>1858.1548171955408</v>
      </c>
      <c r="V90" s="17"/>
      <c r="W90" s="17"/>
    </row>
    <row r="91" spans="1:23" ht="21" x14ac:dyDescent="0.4">
      <c r="A91" s="17">
        <v>21</v>
      </c>
      <c r="B91" s="116"/>
      <c r="C91" s="117">
        <v>2038</v>
      </c>
      <c r="D91" s="121">
        <f t="shared" si="4"/>
        <v>864.61418881390341</v>
      </c>
      <c r="E91" s="121">
        <f t="shared" si="4"/>
        <v>24.085203093087841</v>
      </c>
      <c r="F91" s="121">
        <f t="shared" si="4"/>
        <v>36.796838058884198</v>
      </c>
      <c r="G91" s="121">
        <f t="shared" si="4"/>
        <v>137.59787322625183</v>
      </c>
      <c r="H91" s="119">
        <f t="shared" si="2"/>
        <v>1063.0941031921272</v>
      </c>
      <c r="I91" s="71"/>
      <c r="J91" s="71"/>
      <c r="K91" s="71"/>
      <c r="L91" s="71"/>
      <c r="M91" s="68"/>
      <c r="N91" s="17"/>
      <c r="O91" s="17"/>
      <c r="P91" s="117">
        <v>2038</v>
      </c>
      <c r="Q91" s="121">
        <f t="shared" si="5"/>
        <v>1541.4280352670492</v>
      </c>
      <c r="R91" s="121">
        <f t="shared" si="5"/>
        <v>94.714252769421094</v>
      </c>
      <c r="S91" s="121">
        <f t="shared" si="5"/>
        <v>59.05712231505079</v>
      </c>
      <c r="T91" s="121">
        <f t="shared" si="5"/>
        <v>225.08563599321249</v>
      </c>
      <c r="U91" s="119">
        <f t="shared" si="3"/>
        <v>1920.2850463447335</v>
      </c>
      <c r="V91" s="17"/>
      <c r="W91" s="17"/>
    </row>
    <row r="92" spans="1:23" ht="21" x14ac:dyDescent="0.4">
      <c r="A92" s="17">
        <v>22</v>
      </c>
      <c r="B92" s="116"/>
      <c r="C92" s="117">
        <v>2039</v>
      </c>
      <c r="D92" s="121">
        <f t="shared" si="4"/>
        <v>879.78021510933024</v>
      </c>
      <c r="E92" s="121">
        <f t="shared" si="4"/>
        <v>24.507676871758488</v>
      </c>
      <c r="F92" s="121">
        <f t="shared" si="4"/>
        <v>37.442284109631025</v>
      </c>
      <c r="G92" s="121">
        <f t="shared" si="4"/>
        <v>140.01145027662028</v>
      </c>
      <c r="H92" s="119">
        <f t="shared" si="2"/>
        <v>1081.7416263673399</v>
      </c>
      <c r="I92" s="71"/>
      <c r="J92" s="71"/>
      <c r="K92" s="71"/>
      <c r="L92" s="71"/>
      <c r="M92" s="68"/>
      <c r="N92" s="17"/>
      <c r="O92" s="17"/>
      <c r="P92" s="117">
        <v>2039</v>
      </c>
      <c r="Q92" s="121">
        <f t="shared" si="5"/>
        <v>1591.8337001031418</v>
      </c>
      <c r="R92" s="121">
        <f t="shared" si="5"/>
        <v>97.811468319590645</v>
      </c>
      <c r="S92" s="121">
        <f t="shared" si="5"/>
        <v>60.98832730515651</v>
      </c>
      <c r="T92" s="121">
        <f t="shared" si="5"/>
        <v>232.44607765361542</v>
      </c>
      <c r="U92" s="119">
        <f t="shared" si="3"/>
        <v>1983.0795733815044</v>
      </c>
      <c r="V92" s="17"/>
      <c r="W92" s="17"/>
    </row>
    <row r="93" spans="1:23" ht="21" x14ac:dyDescent="0.4">
      <c r="A93" s="17">
        <v>23</v>
      </c>
      <c r="B93" s="116"/>
      <c r="C93" s="117">
        <v>2040</v>
      </c>
      <c r="D93" s="121">
        <f t="shared" si="4"/>
        <v>894.89562664375535</v>
      </c>
      <c r="E93" s="121">
        <f t="shared" si="4"/>
        <v>24.928740695776522</v>
      </c>
      <c r="F93" s="121">
        <f t="shared" si="4"/>
        <v>38.085576062991912</v>
      </c>
      <c r="G93" s="121">
        <f t="shared" si="4"/>
        <v>142.41697230827884</v>
      </c>
      <c r="H93" s="119">
        <f t="shared" si="2"/>
        <v>1100.3269157108025</v>
      </c>
      <c r="I93" s="71"/>
      <c r="J93" s="71"/>
      <c r="K93" s="71"/>
      <c r="L93" s="71"/>
      <c r="M93" s="68"/>
      <c r="N93" s="17"/>
      <c r="O93" s="17"/>
      <c r="P93" s="117">
        <v>2040</v>
      </c>
      <c r="Q93" s="121">
        <f t="shared" si="5"/>
        <v>1642.7292824813062</v>
      </c>
      <c r="R93" s="121">
        <f t="shared" si="5"/>
        <v>100.93878723680317</v>
      </c>
      <c r="S93" s="121">
        <f t="shared" si="5"/>
        <v>62.938302630006667</v>
      </c>
      <c r="T93" s="121">
        <f t="shared" si="5"/>
        <v>239.87805908040283</v>
      </c>
      <c r="U93" s="119">
        <f t="shared" si="3"/>
        <v>2046.484431428519</v>
      </c>
      <c r="V93" s="17"/>
      <c r="W93" s="17"/>
    </row>
    <row r="94" spans="1:23" ht="21" x14ac:dyDescent="0.4">
      <c r="A94" s="17">
        <v>24</v>
      </c>
      <c r="B94" s="116"/>
      <c r="C94" s="117">
        <v>2041</v>
      </c>
      <c r="D94" s="121">
        <f t="shared" si="4"/>
        <v>909.95738144175914</v>
      </c>
      <c r="E94" s="121">
        <f t="shared" si="4"/>
        <v>25.34830982607944</v>
      </c>
      <c r="F94" s="121">
        <f t="shared" si="4"/>
        <v>38.726584456510253</v>
      </c>
      <c r="G94" s="121">
        <f t="shared" si="4"/>
        <v>144.81395521010199</v>
      </c>
      <c r="H94" s="119">
        <f t="shared" si="2"/>
        <v>1118.8462309344509</v>
      </c>
      <c r="I94" s="71"/>
      <c r="J94" s="71"/>
      <c r="K94" s="71"/>
      <c r="L94" s="71"/>
      <c r="M94" s="68"/>
      <c r="N94" s="17"/>
      <c r="O94" s="17"/>
      <c r="P94" s="117">
        <v>2041</v>
      </c>
      <c r="Q94" s="121">
        <f t="shared" si="5"/>
        <v>1694.0725515640142</v>
      </c>
      <c r="R94" s="121">
        <f t="shared" si="5"/>
        <v>104.09361461417437</v>
      </c>
      <c r="S94" s="121">
        <f t="shared" si="5"/>
        <v>64.905430288838133</v>
      </c>
      <c r="T94" s="121">
        <f t="shared" si="5"/>
        <v>247.37541355368501</v>
      </c>
      <c r="U94" s="119">
        <f t="shared" si="3"/>
        <v>2110.4470100207118</v>
      </c>
      <c r="V94" s="17"/>
      <c r="W94" s="17"/>
    </row>
    <row r="95" spans="1:23" ht="21" x14ac:dyDescent="0.4">
      <c r="A95" s="17">
        <v>25</v>
      </c>
      <c r="B95" s="116"/>
      <c r="C95" s="117">
        <v>2042</v>
      </c>
      <c r="D95" s="121">
        <f t="shared" si="4"/>
        <v>924.96261965572023</v>
      </c>
      <c r="E95" s="121">
        <f t="shared" si="4"/>
        <v>25.766304597064167</v>
      </c>
      <c r="F95" s="121">
        <f t="shared" si="4"/>
        <v>39.365187578848037</v>
      </c>
      <c r="G95" s="121">
        <f t="shared" si="4"/>
        <v>147.20194385544994</v>
      </c>
      <c r="H95" s="119">
        <f t="shared" si="2"/>
        <v>1137.2960556870823</v>
      </c>
      <c r="I95" s="71"/>
      <c r="J95" s="71"/>
      <c r="K95" s="71"/>
      <c r="L95" s="71"/>
      <c r="M95" s="68"/>
      <c r="N95" s="17"/>
      <c r="O95" s="17"/>
      <c r="P95" s="117">
        <v>2042</v>
      </c>
      <c r="Q95" s="121">
        <f t="shared" si="5"/>
        <v>1745.8224395067045</v>
      </c>
      <c r="R95" s="121">
        <f t="shared" si="5"/>
        <v>107.27342700583365</v>
      </c>
      <c r="S95" s="121">
        <f t="shared" si="5"/>
        <v>66.888136838931558</v>
      </c>
      <c r="T95" s="121">
        <f t="shared" si="5"/>
        <v>254.93214417856939</v>
      </c>
      <c r="U95" s="119">
        <f t="shared" si="3"/>
        <v>2174.9161475300389</v>
      </c>
      <c r="V95" s="17"/>
      <c r="W95" s="17"/>
    </row>
    <row r="96" spans="1:23" ht="21" x14ac:dyDescent="0.4">
      <c r="A96" s="17">
        <v>26</v>
      </c>
      <c r="B96" s="116"/>
      <c r="C96" s="117">
        <v>2043</v>
      </c>
      <c r="D96" s="121">
        <f t="shared" si="4"/>
        <v>939.90865623422701</v>
      </c>
      <c r="E96" s="121">
        <f t="shared" si="4"/>
        <v>26.182650212354016</v>
      </c>
      <c r="F96" s="121">
        <f t="shared" si="4"/>
        <v>40.001271157763078</v>
      </c>
      <c r="G96" s="121">
        <f t="shared" si="4"/>
        <v>149.58051093539285</v>
      </c>
      <c r="H96" s="119">
        <f t="shared" si="2"/>
        <v>1155.6730885397369</v>
      </c>
      <c r="I96" s="71"/>
      <c r="J96" s="71"/>
      <c r="K96" s="71"/>
      <c r="L96" s="71"/>
      <c r="M96" s="68"/>
      <c r="N96" s="17"/>
      <c r="O96" s="17"/>
      <c r="P96" s="117">
        <v>2043</v>
      </c>
      <c r="Q96" s="121">
        <f t="shared" si="5"/>
        <v>1797.939102290035</v>
      </c>
      <c r="R96" s="121">
        <f t="shared" si="5"/>
        <v>110.47577616480937</v>
      </c>
      <c r="S96" s="121">
        <f t="shared" si="5"/>
        <v>68.884895726292896</v>
      </c>
      <c r="T96" s="121">
        <f t="shared" si="5"/>
        <v>262.54243276813526</v>
      </c>
      <c r="U96" s="119">
        <f t="shared" si="3"/>
        <v>2239.8422069492722</v>
      </c>
      <c r="V96" s="17"/>
      <c r="W96" s="17"/>
    </row>
    <row r="97" spans="1:23" ht="21" x14ac:dyDescent="0.4">
      <c r="A97" s="17">
        <v>27</v>
      </c>
      <c r="B97" s="116"/>
      <c r="C97" s="117">
        <v>2044</v>
      </c>
      <c r="D97" s="121">
        <f t="shared" si="4"/>
        <v>954.79297376175498</v>
      </c>
      <c r="E97" s="121">
        <f t="shared" si="4"/>
        <v>26.597276545336481</v>
      </c>
      <c r="F97" s="121">
        <f t="shared" si="4"/>
        <v>40.634728055375177</v>
      </c>
      <c r="G97" s="121">
        <f t="shared" si="4"/>
        <v>151.94925581919082</v>
      </c>
      <c r="H97" s="119">
        <f t="shared" si="2"/>
        <v>1173.9742341816575</v>
      </c>
      <c r="I97" s="71"/>
      <c r="J97" s="71"/>
      <c r="K97" s="71"/>
      <c r="L97" s="71"/>
      <c r="M97" s="68"/>
      <c r="N97" s="17"/>
      <c r="O97" s="17"/>
      <c r="P97" s="117">
        <v>2044</v>
      </c>
      <c r="Q97" s="121">
        <f t="shared" si="5"/>
        <v>1850.3839681506067</v>
      </c>
      <c r="R97" s="121">
        <f t="shared" si="5"/>
        <v>113.69829201889272</v>
      </c>
      <c r="S97" s="121">
        <f t="shared" si="5"/>
        <v>70.894229141191914</v>
      </c>
      <c r="T97" s="121">
        <f t="shared" si="5"/>
        <v>270.20064691548623</v>
      </c>
      <c r="U97" s="119">
        <f t="shared" si="3"/>
        <v>2305.1771362261779</v>
      </c>
      <c r="V97" s="17"/>
      <c r="W97" s="17"/>
    </row>
    <row r="98" spans="1:23" ht="21" x14ac:dyDescent="0.4">
      <c r="A98" s="17">
        <v>28</v>
      </c>
      <c r="B98" s="116"/>
      <c r="C98" s="117">
        <v>2045</v>
      </c>
      <c r="D98" s="121">
        <f t="shared" si="4"/>
        <v>969.61321547825105</v>
      </c>
      <c r="E98" s="121">
        <f t="shared" si="4"/>
        <v>27.010117944712693</v>
      </c>
      <c r="F98" s="121">
        <f t="shared" si="4"/>
        <v>41.265457971088836</v>
      </c>
      <c r="G98" s="121">
        <f t="shared" si="4"/>
        <v>154.30780344340494</v>
      </c>
      <c r="H98" s="119">
        <f t="shared" si="2"/>
        <v>1192.1965948374575</v>
      </c>
      <c r="I98" s="71"/>
      <c r="J98" s="71"/>
      <c r="K98" s="71"/>
      <c r="L98" s="71"/>
      <c r="M98" s="68"/>
      <c r="N98" s="17"/>
      <c r="O98" s="17"/>
      <c r="P98" s="117">
        <v>2045</v>
      </c>
      <c r="Q98" s="121">
        <f t="shared" si="5"/>
        <v>1903.1197745912111</v>
      </c>
      <c r="R98" s="121">
        <f t="shared" si="5"/>
        <v>116.93868494476116</v>
      </c>
      <c r="S98" s="121">
        <f t="shared" si="5"/>
        <v>72.914709436145188</v>
      </c>
      <c r="T98" s="121">
        <f t="shared" si="5"/>
        <v>277.90134539813829</v>
      </c>
      <c r="U98" s="119">
        <f t="shared" si="3"/>
        <v>2370.8745143702558</v>
      </c>
      <c r="V98" s="17"/>
      <c r="W98" s="17"/>
    </row>
    <row r="99" spans="1:23" ht="21" x14ac:dyDescent="0.4">
      <c r="A99" s="17">
        <v>29</v>
      </c>
      <c r="B99" s="116"/>
      <c r="C99" s="117">
        <v>2046</v>
      </c>
      <c r="D99" s="121">
        <f t="shared" si="4"/>
        <v>984.36717848558874</v>
      </c>
      <c r="E99" s="121">
        <f t="shared" si="4"/>
        <v>27.421113045252405</v>
      </c>
      <c r="F99" s="121">
        <f t="shared" si="4"/>
        <v>41.893367152468954</v>
      </c>
      <c r="G99" s="121">
        <f t="shared" si="4"/>
        <v>156.65580323074755</v>
      </c>
      <c r="H99" s="119">
        <f t="shared" si="2"/>
        <v>1210.3374619140577</v>
      </c>
      <c r="I99" s="71"/>
      <c r="J99" s="71"/>
      <c r="K99" s="71"/>
      <c r="L99" s="71"/>
      <c r="M99" s="68"/>
      <c r="N99" s="17"/>
      <c r="O99" s="17"/>
      <c r="P99" s="117">
        <v>2046</v>
      </c>
      <c r="Q99" s="121">
        <f t="shared" si="5"/>
        <v>1956.1105949567532</v>
      </c>
      <c r="R99" s="121">
        <f t="shared" si="5"/>
        <v>120.19474740095713</v>
      </c>
      <c r="S99" s="121">
        <f t="shared" si="5"/>
        <v>74.944960144126199</v>
      </c>
      <c r="T99" s="121">
        <f t="shared" si="5"/>
        <v>285.63928205874521</v>
      </c>
      <c r="U99" s="119">
        <f t="shared" si="3"/>
        <v>2436.8895845605816</v>
      </c>
      <c r="V99" s="17"/>
      <c r="W99" s="17"/>
    </row>
    <row r="100" spans="1:23" ht="21" x14ac:dyDescent="0.4">
      <c r="A100" s="17">
        <v>30</v>
      </c>
      <c r="B100" s="116"/>
      <c r="C100" s="117">
        <v>2047</v>
      </c>
      <c r="D100" s="121">
        <f t="shared" si="4"/>
        <v>999.05280714608728</v>
      </c>
      <c r="E100" s="121">
        <f t="shared" si="4"/>
        <v>27.830204583899256</v>
      </c>
      <c r="F100" s="121">
        <f t="shared" si="4"/>
        <v>42.518368114290531</v>
      </c>
      <c r="G100" s="121">
        <f t="shared" si="4"/>
        <v>158.99292803949854</v>
      </c>
      <c r="H100" s="119">
        <f t="shared" si="2"/>
        <v>1228.3943078837756</v>
      </c>
      <c r="I100" s="71"/>
      <c r="J100" s="71"/>
      <c r="K100" s="71"/>
      <c r="L100" s="71"/>
      <c r="M100" s="68"/>
      <c r="N100" s="17"/>
      <c r="O100" s="17"/>
      <c r="P100" s="117">
        <v>2047</v>
      </c>
      <c r="Q100" s="121">
        <f t="shared" si="5"/>
        <v>2009.3218555484914</v>
      </c>
      <c r="R100" s="121">
        <f t="shared" si="5"/>
        <v>123.46435497948562</v>
      </c>
      <c r="S100" s="121">
        <f t="shared" si="5"/>
        <v>76.98365663426749</v>
      </c>
      <c r="T100" s="121">
        <f t="shared" si="5"/>
        <v>293.40940830418936</v>
      </c>
      <c r="U100" s="119">
        <f t="shared" si="3"/>
        <v>2503.1792754664339</v>
      </c>
      <c r="V100" s="17"/>
      <c r="W100" s="17"/>
    </row>
    <row r="101" spans="1:23" ht="21" x14ac:dyDescent="0.4">
      <c r="A101" s="17">
        <v>31</v>
      </c>
      <c r="B101" s="122"/>
      <c r="C101" s="117">
        <v>2048</v>
      </c>
      <c r="D101" s="121">
        <f t="shared" si="4"/>
        <v>1013.6681866767781</v>
      </c>
      <c r="E101" s="121">
        <f t="shared" si="4"/>
        <v>28.23733922132887</v>
      </c>
      <c r="F101" s="121">
        <f t="shared" si="4"/>
        <v>43.140379365919109</v>
      </c>
      <c r="G101" s="121">
        <f t="shared" si="4"/>
        <v>161.31887314407328</v>
      </c>
      <c r="H101" s="119">
        <f t="shared" si="2"/>
        <v>1246.3647784080995</v>
      </c>
      <c r="I101" s="17"/>
      <c r="J101" s="17"/>
      <c r="K101" s="17"/>
      <c r="L101" s="17"/>
      <c r="M101" s="17"/>
      <c r="N101" s="17"/>
      <c r="O101" s="17"/>
      <c r="P101" s="117">
        <v>2048</v>
      </c>
      <c r="Q101" s="121">
        <f t="shared" si="5"/>
        <v>2062.7203442245896</v>
      </c>
      <c r="R101" s="121">
        <f t="shared" si="5"/>
        <v>126.74546693428199</v>
      </c>
      <c r="S101" s="121">
        <f t="shared" si="5"/>
        <v>79.029526441375822</v>
      </c>
      <c r="T101" s="121">
        <f t="shared" si="5"/>
        <v>301.20687436147017</v>
      </c>
      <c r="U101" s="119">
        <f t="shared" si="3"/>
        <v>2569.7022119617172</v>
      </c>
      <c r="V101" s="17"/>
      <c r="W101" s="17"/>
    </row>
    <row r="102" spans="1:23" x14ac:dyDescent="0.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</row>
    <row r="103" spans="1:23" ht="21" x14ac:dyDescent="0.4">
      <c r="A103" s="17"/>
      <c r="B103" s="234"/>
      <c r="C103" s="234"/>
      <c r="D103" s="234"/>
      <c r="E103" s="234"/>
      <c r="F103" s="234"/>
      <c r="G103" s="234"/>
      <c r="H103" s="234"/>
      <c r="I103" s="234"/>
      <c r="J103" s="234"/>
      <c r="K103" s="234"/>
      <c r="L103" s="234"/>
      <c r="M103" s="234"/>
      <c r="N103" s="234"/>
      <c r="O103" s="234"/>
      <c r="P103" s="234"/>
      <c r="Q103" s="234"/>
      <c r="R103" s="234"/>
      <c r="S103" s="234"/>
      <c r="T103" s="234"/>
      <c r="U103" s="234"/>
      <c r="V103" s="17"/>
      <c r="W103" s="17"/>
    </row>
    <row r="104" spans="1:23" x14ac:dyDescent="0.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</row>
    <row r="105" spans="1:23" ht="15" customHeight="1" x14ac:dyDescent="0.3">
      <c r="A105" s="17"/>
      <c r="B105" s="224"/>
      <c r="C105" s="235"/>
      <c r="D105" s="235"/>
      <c r="E105" s="235"/>
      <c r="F105" s="235"/>
      <c r="G105" s="235"/>
      <c r="H105" s="235"/>
      <c r="I105" s="235"/>
      <c r="J105" s="235"/>
      <c r="K105" s="235"/>
      <c r="L105" s="55"/>
      <c r="M105" s="236"/>
      <c r="N105" s="17"/>
      <c r="O105" s="17"/>
      <c r="V105" s="17"/>
      <c r="W105" s="17"/>
    </row>
    <row r="106" spans="1:23" ht="66.75" customHeight="1" x14ac:dyDescent="0.3">
      <c r="A106" s="17"/>
      <c r="B106" s="224"/>
      <c r="C106" s="115"/>
      <c r="D106" s="115"/>
      <c r="E106" s="115"/>
      <c r="F106" s="115"/>
      <c r="G106" s="115"/>
      <c r="H106" s="115"/>
      <c r="I106" s="115"/>
      <c r="J106" s="115"/>
      <c r="K106" s="115"/>
      <c r="L106" s="115"/>
      <c r="M106" s="236"/>
      <c r="N106" s="17"/>
      <c r="O106" s="17"/>
      <c r="V106" s="17"/>
      <c r="W106" s="17"/>
    </row>
    <row r="107" spans="1:23" x14ac:dyDescent="0.3">
      <c r="A107" s="17"/>
      <c r="B107" s="16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68"/>
      <c r="N107" s="17"/>
      <c r="O107" s="17"/>
      <c r="V107" s="17"/>
      <c r="W107" s="17"/>
    </row>
    <row r="108" spans="1:23" x14ac:dyDescent="0.3">
      <c r="A108" s="17">
        <v>1</v>
      </c>
      <c r="B108" s="16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68"/>
      <c r="N108" s="17"/>
      <c r="O108" s="17"/>
      <c r="V108" s="17"/>
      <c r="W108" s="17"/>
    </row>
    <row r="109" spans="1:23" x14ac:dyDescent="0.3">
      <c r="A109" s="17">
        <v>2</v>
      </c>
      <c r="B109" s="16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68"/>
      <c r="N109" s="17"/>
      <c r="O109" s="17"/>
      <c r="V109" s="17"/>
      <c r="W109" s="17"/>
    </row>
    <row r="110" spans="1:23" x14ac:dyDescent="0.3">
      <c r="A110" s="17">
        <v>3</v>
      </c>
      <c r="B110" s="16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68"/>
      <c r="N110" s="17"/>
      <c r="O110" s="17"/>
      <c r="V110" s="17"/>
      <c r="W110" s="17"/>
    </row>
    <row r="111" spans="1:23" x14ac:dyDescent="0.3">
      <c r="A111" s="17">
        <v>4</v>
      </c>
      <c r="B111" s="16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68"/>
      <c r="N111" s="17"/>
      <c r="O111" s="17"/>
      <c r="V111" s="17"/>
      <c r="W111" s="17"/>
    </row>
    <row r="112" spans="1:23" x14ac:dyDescent="0.3">
      <c r="A112" s="17">
        <v>5</v>
      </c>
      <c r="B112" s="16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68"/>
      <c r="N112" s="17"/>
      <c r="O112" s="17"/>
      <c r="V112" s="17"/>
      <c r="W112" s="17"/>
    </row>
    <row r="113" spans="1:23" x14ac:dyDescent="0.3">
      <c r="A113" s="17">
        <v>6</v>
      </c>
      <c r="B113" s="16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68"/>
      <c r="N113" s="17"/>
      <c r="O113" s="17"/>
      <c r="V113" s="17"/>
      <c r="W113" s="17"/>
    </row>
    <row r="114" spans="1:23" x14ac:dyDescent="0.3">
      <c r="A114" s="17">
        <v>7</v>
      </c>
      <c r="B114" s="16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68"/>
      <c r="N114" s="17"/>
      <c r="O114" s="17"/>
      <c r="V114" s="17"/>
      <c r="W114" s="17"/>
    </row>
    <row r="115" spans="1:23" x14ac:dyDescent="0.3">
      <c r="A115" s="17">
        <v>8</v>
      </c>
      <c r="B115" s="16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68"/>
      <c r="N115" s="17"/>
      <c r="O115" s="17"/>
      <c r="V115" s="17"/>
      <c r="W115" s="17"/>
    </row>
    <row r="116" spans="1:23" x14ac:dyDescent="0.3">
      <c r="A116" s="17">
        <v>9</v>
      </c>
      <c r="B116" s="16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68"/>
      <c r="N116" s="17"/>
      <c r="O116" s="17"/>
      <c r="V116" s="17"/>
      <c r="W116" s="17"/>
    </row>
    <row r="117" spans="1:23" x14ac:dyDescent="0.3">
      <c r="A117" s="17">
        <v>10</v>
      </c>
      <c r="B117" s="16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68"/>
      <c r="N117" s="17"/>
      <c r="O117" s="17"/>
      <c r="V117" s="17"/>
      <c r="W117" s="17"/>
    </row>
    <row r="118" spans="1:23" x14ac:dyDescent="0.3">
      <c r="A118" s="17">
        <v>11</v>
      </c>
      <c r="B118" s="16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68"/>
      <c r="N118" s="17"/>
      <c r="O118" s="17"/>
      <c r="V118" s="17"/>
      <c r="W118" s="17"/>
    </row>
    <row r="119" spans="1:23" x14ac:dyDescent="0.3">
      <c r="A119" s="17">
        <v>12</v>
      </c>
      <c r="B119" s="16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68"/>
      <c r="N119" s="17"/>
      <c r="O119" s="17"/>
      <c r="V119" s="17"/>
      <c r="W119" s="17"/>
    </row>
    <row r="120" spans="1:23" x14ac:dyDescent="0.3">
      <c r="A120" s="17">
        <v>13</v>
      </c>
      <c r="B120" s="16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68"/>
      <c r="N120" s="17"/>
      <c r="O120" s="17"/>
      <c r="V120" s="17"/>
      <c r="W120" s="17"/>
    </row>
    <row r="121" spans="1:23" x14ac:dyDescent="0.3">
      <c r="A121" s="17">
        <v>14</v>
      </c>
      <c r="B121" s="16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68"/>
      <c r="N121" s="17"/>
      <c r="O121" s="17"/>
      <c r="V121" s="17"/>
      <c r="W121" s="17"/>
    </row>
    <row r="122" spans="1:23" x14ac:dyDescent="0.3">
      <c r="A122" s="17">
        <v>15</v>
      </c>
      <c r="B122" s="16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68"/>
      <c r="N122" s="17"/>
      <c r="O122" s="17"/>
      <c r="V122" s="17"/>
      <c r="W122" s="17"/>
    </row>
    <row r="123" spans="1:23" x14ac:dyDescent="0.3">
      <c r="A123" s="17">
        <v>16</v>
      </c>
      <c r="B123" s="16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68"/>
      <c r="N123" s="17"/>
      <c r="O123" s="17"/>
      <c r="V123" s="17"/>
      <c r="W123" s="17"/>
    </row>
    <row r="124" spans="1:23" x14ac:dyDescent="0.3">
      <c r="A124" s="17">
        <v>17</v>
      </c>
      <c r="B124" s="16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68"/>
      <c r="N124" s="17"/>
      <c r="O124" s="17"/>
      <c r="V124" s="17"/>
      <c r="W124" s="17"/>
    </row>
    <row r="125" spans="1:23" x14ac:dyDescent="0.3">
      <c r="A125" s="17">
        <v>18</v>
      </c>
      <c r="B125" s="16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68"/>
      <c r="N125" s="17"/>
      <c r="O125" s="17"/>
      <c r="V125" s="17"/>
      <c r="W125" s="17"/>
    </row>
    <row r="126" spans="1:23" x14ac:dyDescent="0.3">
      <c r="A126" s="17">
        <v>19</v>
      </c>
      <c r="B126" s="16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68"/>
      <c r="N126" s="17"/>
      <c r="O126" s="17"/>
      <c r="V126" s="17"/>
      <c r="W126" s="17"/>
    </row>
    <row r="127" spans="1:23" x14ac:dyDescent="0.3">
      <c r="A127" s="17">
        <v>20</v>
      </c>
      <c r="B127" s="16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68"/>
      <c r="N127" s="17"/>
      <c r="O127" s="17"/>
      <c r="V127" s="17"/>
      <c r="W127" s="17"/>
    </row>
    <row r="128" spans="1:23" x14ac:dyDescent="0.3">
      <c r="A128" s="17">
        <v>21</v>
      </c>
      <c r="B128" s="16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68"/>
      <c r="N128" s="17"/>
      <c r="O128" s="17"/>
      <c r="V128" s="17"/>
      <c r="W128" s="17"/>
    </row>
    <row r="129" spans="1:23" x14ac:dyDescent="0.3">
      <c r="A129" s="17">
        <v>22</v>
      </c>
      <c r="B129" s="16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68"/>
      <c r="N129" s="17"/>
      <c r="O129" s="17"/>
      <c r="V129" s="17"/>
      <c r="W129" s="17"/>
    </row>
    <row r="130" spans="1:23" x14ac:dyDescent="0.3">
      <c r="A130" s="17">
        <v>23</v>
      </c>
      <c r="B130" s="16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68"/>
      <c r="N130" s="17"/>
      <c r="O130" s="17"/>
      <c r="V130" s="17"/>
      <c r="W130" s="17"/>
    </row>
    <row r="131" spans="1:23" x14ac:dyDescent="0.3">
      <c r="A131" s="17">
        <v>24</v>
      </c>
      <c r="B131" s="16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68"/>
      <c r="N131" s="17"/>
      <c r="O131" s="17"/>
      <c r="V131" s="17"/>
      <c r="W131" s="17"/>
    </row>
    <row r="132" spans="1:23" x14ac:dyDescent="0.3">
      <c r="A132" s="17">
        <v>25</v>
      </c>
      <c r="B132" s="16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68"/>
      <c r="N132" s="17"/>
      <c r="O132" s="17"/>
      <c r="V132" s="17"/>
      <c r="W132" s="17"/>
    </row>
    <row r="133" spans="1:23" x14ac:dyDescent="0.3">
      <c r="A133" s="17">
        <v>26</v>
      </c>
      <c r="B133" s="16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68"/>
      <c r="N133" s="17"/>
      <c r="O133" s="17"/>
      <c r="V133" s="17"/>
      <c r="W133" s="17"/>
    </row>
    <row r="134" spans="1:23" x14ac:dyDescent="0.3">
      <c r="A134" s="17">
        <v>27</v>
      </c>
      <c r="B134" s="16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68"/>
      <c r="N134" s="17"/>
      <c r="O134" s="17"/>
      <c r="V134" s="17"/>
      <c r="W134" s="17"/>
    </row>
    <row r="135" spans="1:23" x14ac:dyDescent="0.3">
      <c r="A135" s="17">
        <v>28</v>
      </c>
      <c r="B135" s="16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68"/>
      <c r="N135" s="17"/>
      <c r="O135" s="17"/>
      <c r="V135" s="17"/>
      <c r="W135" s="17"/>
    </row>
    <row r="136" spans="1:23" x14ac:dyDescent="0.3">
      <c r="A136" s="17">
        <v>29</v>
      </c>
      <c r="B136" s="16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68"/>
      <c r="N136" s="17"/>
      <c r="O136" s="17"/>
      <c r="V136" s="17"/>
      <c r="W136" s="17"/>
    </row>
    <row r="137" spans="1:23" x14ac:dyDescent="0.3">
      <c r="A137" s="17">
        <v>30</v>
      </c>
      <c r="B137" s="16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68"/>
      <c r="N137" s="17"/>
      <c r="O137" s="17"/>
      <c r="V137" s="17"/>
      <c r="W137" s="17"/>
    </row>
    <row r="138" spans="1:23" x14ac:dyDescent="0.3">
      <c r="A138" s="17">
        <v>31</v>
      </c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V138" s="17"/>
      <c r="W138" s="17"/>
    </row>
  </sheetData>
  <mergeCells count="34">
    <mergeCell ref="A3:W3"/>
    <mergeCell ref="B5:J5"/>
    <mergeCell ref="I6:J6"/>
    <mergeCell ref="V6:W6"/>
    <mergeCell ref="B8:E9"/>
    <mergeCell ref="I8:J9"/>
    <mergeCell ref="O8:R9"/>
    <mergeCell ref="V8:W9"/>
    <mergeCell ref="B10:B11"/>
    <mergeCell ref="I10:I11"/>
    <mergeCell ref="O10:O11"/>
    <mergeCell ref="V10:V11"/>
    <mergeCell ref="B57:E58"/>
    <mergeCell ref="I57:J58"/>
    <mergeCell ref="O57:S58"/>
    <mergeCell ref="V57:W58"/>
    <mergeCell ref="A62:W62"/>
    <mergeCell ref="B65:U65"/>
    <mergeCell ref="B67:B69"/>
    <mergeCell ref="C67:H67"/>
    <mergeCell ref="J67:K67"/>
    <mergeCell ref="M67:M69"/>
    <mergeCell ref="P67:U67"/>
    <mergeCell ref="C68:C69"/>
    <mergeCell ref="D68:G68"/>
    <mergeCell ref="H68:H69"/>
    <mergeCell ref="P68:P69"/>
    <mergeCell ref="Q68:T68"/>
    <mergeCell ref="U68:U69"/>
    <mergeCell ref="B103:U103"/>
    <mergeCell ref="B105:B106"/>
    <mergeCell ref="C105:I105"/>
    <mergeCell ref="J105:K105"/>
    <mergeCell ref="M105:M10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B6204-E3BE-4433-91CD-29EE02391497}">
  <dimension ref="A1:S54"/>
  <sheetViews>
    <sheetView zoomScale="55" zoomScaleNormal="55" workbookViewId="0">
      <selection sqref="A1:M2"/>
    </sheetView>
  </sheetViews>
  <sheetFormatPr baseColWidth="10" defaultColWidth="11.5546875" defaultRowHeight="14.4" x14ac:dyDescent="0.3"/>
  <cols>
    <col min="2" max="2" width="19.44140625" customWidth="1"/>
    <col min="3" max="3" width="22.6640625" bestFit="1" customWidth="1"/>
    <col min="4" max="5" width="20.33203125" bestFit="1" customWidth="1"/>
    <col min="6" max="6" width="19.6640625" bestFit="1" customWidth="1"/>
    <col min="7" max="7" width="20.33203125" bestFit="1" customWidth="1"/>
    <col min="8" max="8" width="14.88671875" bestFit="1" customWidth="1"/>
    <col min="9" max="9" width="14.44140625" bestFit="1" customWidth="1"/>
    <col min="10" max="11" width="13.88671875" bestFit="1" customWidth="1"/>
    <col min="12" max="12" width="13.6640625" bestFit="1" customWidth="1"/>
    <col min="13" max="13" width="13.88671875" bestFit="1" customWidth="1"/>
    <col min="14" max="14" width="13.6640625" bestFit="1" customWidth="1"/>
    <col min="15" max="16" width="0" hidden="1" customWidth="1"/>
  </cols>
  <sheetData>
    <row r="1" spans="1:19" x14ac:dyDescent="0.3">
      <c r="A1" s="221" t="s">
        <v>170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17"/>
      <c r="O1" s="17"/>
      <c r="P1" s="17"/>
    </row>
    <row r="2" spans="1:19" x14ac:dyDescent="0.3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17"/>
      <c r="O2" s="17"/>
      <c r="P2" s="17"/>
    </row>
    <row r="3" spans="1:19" x14ac:dyDescent="0.3">
      <c r="A3" s="17"/>
      <c r="B3" s="221" t="s">
        <v>171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S3" s="1" t="s">
        <v>172</v>
      </c>
    </row>
    <row r="4" spans="1:19" x14ac:dyDescent="0.3">
      <c r="A4" s="17"/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</row>
    <row r="5" spans="1:19" x14ac:dyDescent="0.3">
      <c r="A5" s="17"/>
      <c r="B5" s="124" t="s">
        <v>173</v>
      </c>
      <c r="C5" s="124" t="s">
        <v>174</v>
      </c>
      <c r="D5" s="124" t="s">
        <v>175</v>
      </c>
      <c r="E5" s="124" t="s">
        <v>176</v>
      </c>
      <c r="F5" s="124" t="s">
        <v>177</v>
      </c>
      <c r="G5" s="124" t="s">
        <v>178</v>
      </c>
      <c r="H5" s="124" t="s">
        <v>179</v>
      </c>
      <c r="I5" s="124" t="s">
        <v>180</v>
      </c>
      <c r="J5" s="124" t="s">
        <v>181</v>
      </c>
      <c r="K5" s="124" t="s">
        <v>182</v>
      </c>
      <c r="L5" s="124" t="s">
        <v>183</v>
      </c>
      <c r="M5" s="124" t="s">
        <v>184</v>
      </c>
      <c r="N5" s="124" t="s">
        <v>185</v>
      </c>
      <c r="O5" s="124" t="s">
        <v>186</v>
      </c>
      <c r="P5" s="124" t="s">
        <v>187</v>
      </c>
      <c r="Q5" s="125"/>
      <c r="S5" t="s">
        <v>188</v>
      </c>
    </row>
    <row r="6" spans="1:19" x14ac:dyDescent="0.3">
      <c r="A6" s="17"/>
      <c r="B6" s="221" t="s">
        <v>189</v>
      </c>
      <c r="C6" s="18" t="s">
        <v>190</v>
      </c>
      <c r="D6" s="126">
        <v>37550</v>
      </c>
      <c r="E6" s="126">
        <v>52850</v>
      </c>
      <c r="F6" s="126">
        <v>55230</v>
      </c>
      <c r="G6" s="126">
        <v>80720</v>
      </c>
      <c r="H6" s="127">
        <v>89790</v>
      </c>
      <c r="I6" s="91">
        <v>64850</v>
      </c>
      <c r="J6" s="71">
        <v>80360</v>
      </c>
      <c r="K6" s="128">
        <v>24500</v>
      </c>
      <c r="L6" s="127">
        <v>18000</v>
      </c>
      <c r="M6" s="127">
        <v>10000</v>
      </c>
      <c r="N6" s="127">
        <v>7000</v>
      </c>
      <c r="O6" s="17"/>
      <c r="P6" s="17"/>
    </row>
    <row r="7" spans="1:19" x14ac:dyDescent="0.3">
      <c r="A7" s="17"/>
      <c r="B7" s="221"/>
      <c r="C7" s="18" t="s">
        <v>191</v>
      </c>
      <c r="D7" s="126">
        <v>661800</v>
      </c>
      <c r="E7" s="126">
        <v>965720</v>
      </c>
      <c r="F7" s="126">
        <v>963010</v>
      </c>
      <c r="G7" s="126">
        <v>1150840</v>
      </c>
      <c r="H7" s="127">
        <v>1267490</v>
      </c>
      <c r="I7" s="91">
        <v>1289650</v>
      </c>
      <c r="J7" s="71">
        <v>1257140</v>
      </c>
      <c r="K7" s="128">
        <v>729000</v>
      </c>
      <c r="L7" s="127">
        <v>447150</v>
      </c>
      <c r="M7" s="127">
        <v>45000</v>
      </c>
      <c r="N7" s="127">
        <v>57000</v>
      </c>
      <c r="O7" s="17"/>
      <c r="P7" s="17"/>
    </row>
    <row r="8" spans="1:19" x14ac:dyDescent="0.3">
      <c r="A8" s="17"/>
      <c r="B8" s="205"/>
      <c r="C8" s="124" t="s">
        <v>192</v>
      </c>
      <c r="D8" s="129">
        <v>914150</v>
      </c>
      <c r="E8" s="129">
        <v>1200630</v>
      </c>
      <c r="F8" s="129">
        <v>1246550</v>
      </c>
      <c r="G8" s="129">
        <v>1210570</v>
      </c>
      <c r="H8" s="130">
        <v>1294496</v>
      </c>
      <c r="I8" s="131">
        <v>1039082</v>
      </c>
      <c r="J8" s="80">
        <v>997800</v>
      </c>
      <c r="K8" s="129">
        <v>723350</v>
      </c>
      <c r="L8" s="130">
        <v>463650</v>
      </c>
      <c r="M8" s="130">
        <v>167000</v>
      </c>
      <c r="N8" s="130">
        <f>154928+93000</f>
        <v>247928</v>
      </c>
      <c r="O8" s="132"/>
      <c r="P8" s="132"/>
    </row>
    <row r="9" spans="1:19" x14ac:dyDescent="0.3">
      <c r="A9" s="17"/>
      <c r="B9" s="221" t="s">
        <v>193</v>
      </c>
      <c r="C9" s="18" t="s">
        <v>190</v>
      </c>
      <c r="D9" s="126">
        <v>31000</v>
      </c>
      <c r="E9" s="126">
        <v>48630</v>
      </c>
      <c r="F9" s="126">
        <v>45000</v>
      </c>
      <c r="G9" s="126">
        <v>71800</v>
      </c>
      <c r="H9" s="126">
        <v>54970</v>
      </c>
      <c r="I9" s="91">
        <v>65650</v>
      </c>
      <c r="J9" s="71">
        <v>69550</v>
      </c>
      <c r="K9" s="133">
        <v>17500</v>
      </c>
      <c r="L9" s="127">
        <v>16000</v>
      </c>
      <c r="M9" s="127">
        <v>2000</v>
      </c>
      <c r="N9" s="127">
        <v>6000</v>
      </c>
      <c r="O9" s="17"/>
      <c r="P9" s="17"/>
    </row>
    <row r="10" spans="1:19" x14ac:dyDescent="0.3">
      <c r="A10" s="17"/>
      <c r="B10" s="221"/>
      <c r="C10" s="18" t="s">
        <v>191</v>
      </c>
      <c r="D10" s="126">
        <v>686700</v>
      </c>
      <c r="E10" s="126">
        <v>922760</v>
      </c>
      <c r="F10" s="126">
        <v>886850</v>
      </c>
      <c r="G10" s="126">
        <v>1036620</v>
      </c>
      <c r="H10" s="126">
        <v>1055640</v>
      </c>
      <c r="I10" s="91">
        <v>1208900</v>
      </c>
      <c r="J10" s="71">
        <v>1187300</v>
      </c>
      <c r="K10" s="133">
        <v>672950</v>
      </c>
      <c r="L10" s="127">
        <v>345850</v>
      </c>
      <c r="M10" s="127">
        <v>37000</v>
      </c>
      <c r="N10" s="127">
        <v>60000</v>
      </c>
      <c r="O10" s="17"/>
      <c r="P10" s="17"/>
    </row>
    <row r="11" spans="1:19" x14ac:dyDescent="0.3">
      <c r="A11" s="17"/>
      <c r="B11" s="205"/>
      <c r="C11" s="124" t="s">
        <v>192</v>
      </c>
      <c r="D11" s="129">
        <v>926750</v>
      </c>
      <c r="E11" s="129">
        <v>1226100</v>
      </c>
      <c r="F11" s="129">
        <v>1152850</v>
      </c>
      <c r="G11" s="129">
        <v>989820</v>
      </c>
      <c r="H11" s="129">
        <v>922763</v>
      </c>
      <c r="I11" s="131">
        <v>975561</v>
      </c>
      <c r="J11" s="80">
        <v>800400</v>
      </c>
      <c r="K11" s="129">
        <v>641600</v>
      </c>
      <c r="L11" s="130">
        <v>400750</v>
      </c>
      <c r="M11" s="130">
        <f>64000+65000</f>
        <v>129000</v>
      </c>
      <c r="N11" s="130">
        <f>131699+104000</f>
        <v>235699</v>
      </c>
      <c r="O11" s="132"/>
      <c r="P11" s="132"/>
    </row>
    <row r="12" spans="1:19" x14ac:dyDescent="0.3">
      <c r="A12" s="17"/>
      <c r="B12" s="221" t="s">
        <v>194</v>
      </c>
      <c r="C12" s="18" t="s">
        <v>190</v>
      </c>
      <c r="D12" s="126">
        <v>46340</v>
      </c>
      <c r="E12" s="126">
        <v>56132</v>
      </c>
      <c r="F12" s="126">
        <v>54400</v>
      </c>
      <c r="G12" s="126">
        <v>75100</v>
      </c>
      <c r="H12" s="126">
        <v>63800</v>
      </c>
      <c r="I12" s="91">
        <v>71650</v>
      </c>
      <c r="J12" s="71">
        <v>67000</v>
      </c>
      <c r="K12" s="71">
        <v>23000</v>
      </c>
      <c r="L12" s="127">
        <v>22000</v>
      </c>
      <c r="M12" s="127">
        <v>9000</v>
      </c>
      <c r="N12" s="127">
        <v>6000</v>
      </c>
      <c r="O12" s="17"/>
      <c r="P12" s="17"/>
    </row>
    <row r="13" spans="1:19" x14ac:dyDescent="0.3">
      <c r="A13" s="17"/>
      <c r="B13" s="221"/>
      <c r="C13" s="18" t="s">
        <v>191</v>
      </c>
      <c r="D13" s="126">
        <v>851740</v>
      </c>
      <c r="E13" s="126">
        <v>864525</v>
      </c>
      <c r="F13" s="126">
        <v>976350</v>
      </c>
      <c r="G13" s="126">
        <v>1097850</v>
      </c>
      <c r="H13" s="126">
        <v>1221950</v>
      </c>
      <c r="I13" s="91">
        <v>1345000</v>
      </c>
      <c r="J13" s="71">
        <v>1269150</v>
      </c>
      <c r="K13" s="71">
        <v>755050</v>
      </c>
      <c r="L13" s="134">
        <v>967369</v>
      </c>
      <c r="M13" s="134">
        <v>48000</v>
      </c>
      <c r="N13" s="127">
        <v>74000</v>
      </c>
      <c r="O13" s="17"/>
      <c r="P13" s="17"/>
    </row>
    <row r="14" spans="1:19" x14ac:dyDescent="0.3">
      <c r="A14" s="17"/>
      <c r="B14" s="205"/>
      <c r="C14" s="124" t="s">
        <v>192</v>
      </c>
      <c r="D14" s="129">
        <v>1181320</v>
      </c>
      <c r="E14" s="129">
        <v>1126101</v>
      </c>
      <c r="F14" s="129">
        <v>1230550</v>
      </c>
      <c r="G14" s="129">
        <v>1112050</v>
      </c>
      <c r="H14" s="129">
        <v>1070763</v>
      </c>
      <c r="I14" s="131">
        <v>1132079</v>
      </c>
      <c r="J14" s="80">
        <v>835000</v>
      </c>
      <c r="K14" s="129">
        <v>729400</v>
      </c>
      <c r="L14" s="135">
        <v>442099</v>
      </c>
      <c r="M14" s="135">
        <f>46000+77000</f>
        <v>123000</v>
      </c>
      <c r="N14" s="130">
        <f>133921+116000</f>
        <v>249921</v>
      </c>
      <c r="O14" s="132"/>
      <c r="P14" s="132"/>
    </row>
    <row r="15" spans="1:19" x14ac:dyDescent="0.3">
      <c r="A15" s="17"/>
      <c r="B15" s="221" t="s">
        <v>195</v>
      </c>
      <c r="C15" s="18" t="s">
        <v>190</v>
      </c>
      <c r="D15" s="126">
        <v>47700</v>
      </c>
      <c r="E15" s="126">
        <v>53380</v>
      </c>
      <c r="F15" s="126">
        <v>65400</v>
      </c>
      <c r="G15" s="126">
        <v>79600</v>
      </c>
      <c r="H15" s="126">
        <v>61950</v>
      </c>
      <c r="I15" s="91">
        <v>78800</v>
      </c>
      <c r="J15" s="71">
        <v>57500</v>
      </c>
      <c r="K15" s="71">
        <v>24500</v>
      </c>
      <c r="L15" s="134">
        <v>16000</v>
      </c>
      <c r="M15" s="134">
        <v>6000</v>
      </c>
      <c r="N15" s="127">
        <v>11000</v>
      </c>
      <c r="O15" s="17"/>
      <c r="P15" s="17"/>
    </row>
    <row r="16" spans="1:19" x14ac:dyDescent="0.3">
      <c r="A16" s="17"/>
      <c r="B16" s="221"/>
      <c r="C16" s="18" t="s">
        <v>191</v>
      </c>
      <c r="D16" s="126">
        <v>777030</v>
      </c>
      <c r="E16" s="126">
        <v>1033530</v>
      </c>
      <c r="F16" s="126">
        <v>951170</v>
      </c>
      <c r="G16" s="126">
        <v>1204350</v>
      </c>
      <c r="H16" s="126">
        <v>1219550</v>
      </c>
      <c r="I16" s="91">
        <v>1254700</v>
      </c>
      <c r="J16" s="71">
        <v>1240000</v>
      </c>
      <c r="K16" s="71">
        <v>715700</v>
      </c>
      <c r="L16" s="134">
        <v>400250</v>
      </c>
      <c r="M16" s="134">
        <v>44000</v>
      </c>
      <c r="N16" s="127">
        <v>75000</v>
      </c>
      <c r="O16" s="17"/>
      <c r="P16" s="17"/>
    </row>
    <row r="17" spans="1:16" x14ac:dyDescent="0.3">
      <c r="A17" s="17"/>
      <c r="B17" s="205"/>
      <c r="C17" s="124" t="s">
        <v>192</v>
      </c>
      <c r="D17" s="129">
        <v>1169970</v>
      </c>
      <c r="E17" s="129">
        <v>1379650</v>
      </c>
      <c r="F17" s="129">
        <v>1206450</v>
      </c>
      <c r="G17" s="129">
        <v>1161600</v>
      </c>
      <c r="H17" s="129">
        <v>1084286</v>
      </c>
      <c r="I17" s="131">
        <v>1050937</v>
      </c>
      <c r="J17" s="80">
        <v>898050</v>
      </c>
      <c r="K17" s="80">
        <v>633800</v>
      </c>
      <c r="L17" s="135">
        <v>440550</v>
      </c>
      <c r="M17" s="135">
        <f>60000+82000</f>
        <v>142000</v>
      </c>
      <c r="N17" s="130">
        <f>98000+104000</f>
        <v>202000</v>
      </c>
      <c r="O17" s="132"/>
      <c r="P17" s="132"/>
    </row>
    <row r="18" spans="1:16" x14ac:dyDescent="0.3">
      <c r="A18" s="17"/>
      <c r="B18" s="221" t="s">
        <v>196</v>
      </c>
      <c r="C18" s="18" t="s">
        <v>190</v>
      </c>
      <c r="D18" s="126">
        <v>38260</v>
      </c>
      <c r="E18" s="126">
        <v>57210</v>
      </c>
      <c r="F18" s="126">
        <v>67130</v>
      </c>
      <c r="G18" s="126">
        <v>79940</v>
      </c>
      <c r="H18" s="126">
        <v>45550</v>
      </c>
      <c r="I18" s="91">
        <v>71200</v>
      </c>
      <c r="J18" s="71">
        <v>65500</v>
      </c>
      <c r="K18" s="71">
        <v>25500</v>
      </c>
      <c r="L18" s="134">
        <v>11000</v>
      </c>
      <c r="M18" s="134">
        <v>7000</v>
      </c>
      <c r="N18" s="127">
        <v>13000</v>
      </c>
      <c r="O18" s="17"/>
      <c r="P18" s="17"/>
    </row>
    <row r="19" spans="1:16" x14ac:dyDescent="0.3">
      <c r="A19" s="17"/>
      <c r="B19" s="221"/>
      <c r="C19" s="18" t="s">
        <v>191</v>
      </c>
      <c r="D19" s="126">
        <v>848020</v>
      </c>
      <c r="E19" s="126">
        <v>1065350</v>
      </c>
      <c r="F19" s="126">
        <v>981360</v>
      </c>
      <c r="G19" s="126">
        <v>1176050</v>
      </c>
      <c r="H19" s="126">
        <v>1240950</v>
      </c>
      <c r="I19" s="91">
        <v>1267100</v>
      </c>
      <c r="J19" s="71">
        <v>1224200</v>
      </c>
      <c r="K19" s="71">
        <v>788100</v>
      </c>
      <c r="L19" s="134">
        <v>389100</v>
      </c>
      <c r="M19" s="134">
        <v>50000</v>
      </c>
      <c r="N19" s="127">
        <v>62000</v>
      </c>
      <c r="O19" s="17"/>
      <c r="P19" s="17"/>
    </row>
    <row r="20" spans="1:16" x14ac:dyDescent="0.3">
      <c r="A20" s="17"/>
      <c r="B20" s="205"/>
      <c r="C20" s="124" t="s">
        <v>192</v>
      </c>
      <c r="D20" s="129">
        <v>1171850</v>
      </c>
      <c r="E20" s="129">
        <v>1447130</v>
      </c>
      <c r="F20" s="129">
        <v>1305360</v>
      </c>
      <c r="G20" s="129">
        <v>1226950</v>
      </c>
      <c r="H20" s="129">
        <v>992145</v>
      </c>
      <c r="I20" s="131">
        <v>1084356</v>
      </c>
      <c r="J20" s="80">
        <v>941400</v>
      </c>
      <c r="K20" s="129">
        <v>707200</v>
      </c>
      <c r="L20" s="135">
        <v>434100</v>
      </c>
      <c r="M20" s="135">
        <f>62000+90000</f>
        <v>152000</v>
      </c>
      <c r="N20" s="130">
        <f>106000+105000</f>
        <v>211000</v>
      </c>
      <c r="O20" s="132"/>
      <c r="P20" s="132"/>
    </row>
    <row r="21" spans="1:16" x14ac:dyDescent="0.3">
      <c r="A21" s="17"/>
      <c r="B21" s="221" t="s">
        <v>197</v>
      </c>
      <c r="C21" s="18" t="s">
        <v>190</v>
      </c>
      <c r="D21" s="126">
        <v>42730</v>
      </c>
      <c r="E21" s="126">
        <v>57900</v>
      </c>
      <c r="F21" s="126">
        <v>69040</v>
      </c>
      <c r="G21" s="126">
        <v>83410</v>
      </c>
      <c r="H21" s="126">
        <v>62050</v>
      </c>
      <c r="I21" s="91">
        <v>65700</v>
      </c>
      <c r="J21" s="71">
        <v>59000</v>
      </c>
      <c r="K21" s="136">
        <v>29000</v>
      </c>
      <c r="L21" s="134">
        <v>12000</v>
      </c>
      <c r="M21" s="134">
        <v>5000</v>
      </c>
      <c r="N21" s="127">
        <v>6000</v>
      </c>
      <c r="O21" s="17"/>
      <c r="P21" s="17"/>
    </row>
    <row r="22" spans="1:16" x14ac:dyDescent="0.3">
      <c r="A22" s="17"/>
      <c r="B22" s="221"/>
      <c r="C22" s="18" t="s">
        <v>191</v>
      </c>
      <c r="D22" s="126">
        <v>814170</v>
      </c>
      <c r="E22" s="126">
        <v>1060810</v>
      </c>
      <c r="F22" s="126">
        <v>934550</v>
      </c>
      <c r="G22" s="126">
        <v>1160230</v>
      </c>
      <c r="H22" s="126">
        <v>1252650</v>
      </c>
      <c r="I22" s="91">
        <v>1280050</v>
      </c>
      <c r="J22" s="71">
        <v>888950</v>
      </c>
      <c r="K22" s="136">
        <v>645050</v>
      </c>
      <c r="L22" s="134">
        <v>395700</v>
      </c>
      <c r="M22" s="134">
        <v>48000</v>
      </c>
      <c r="N22" s="127">
        <v>69000</v>
      </c>
      <c r="O22" s="17"/>
      <c r="P22" s="17"/>
    </row>
    <row r="23" spans="1:16" x14ac:dyDescent="0.3">
      <c r="A23" s="17"/>
      <c r="B23" s="205"/>
      <c r="C23" s="124" t="s">
        <v>192</v>
      </c>
      <c r="D23" s="129">
        <v>1184230</v>
      </c>
      <c r="E23" s="129">
        <v>1409470</v>
      </c>
      <c r="F23" s="129">
        <v>1284850</v>
      </c>
      <c r="G23" s="129">
        <v>1165930</v>
      </c>
      <c r="H23" s="129">
        <v>1067861</v>
      </c>
      <c r="I23" s="131">
        <v>1065441</v>
      </c>
      <c r="J23" s="80">
        <v>827100</v>
      </c>
      <c r="K23" s="129">
        <v>635750</v>
      </c>
      <c r="L23" s="135">
        <v>421195</v>
      </c>
      <c r="M23" s="135">
        <f>58000+93000</f>
        <v>151000</v>
      </c>
      <c r="N23" s="130">
        <f>82000+113000</f>
        <v>195000</v>
      </c>
      <c r="O23" s="132"/>
      <c r="P23" s="132"/>
    </row>
    <row r="24" spans="1:16" x14ac:dyDescent="0.3">
      <c r="A24" s="17"/>
      <c r="B24" s="221" t="s">
        <v>198</v>
      </c>
      <c r="C24" s="18" t="s">
        <v>190</v>
      </c>
      <c r="D24" s="126">
        <v>50770</v>
      </c>
      <c r="E24" s="126">
        <v>56760</v>
      </c>
      <c r="F24" s="126">
        <v>73600</v>
      </c>
      <c r="G24" s="126">
        <v>93900</v>
      </c>
      <c r="H24" s="126">
        <v>63550</v>
      </c>
      <c r="I24" s="91">
        <v>67100</v>
      </c>
      <c r="J24" s="71">
        <v>62500</v>
      </c>
      <c r="K24" s="137">
        <v>30000</v>
      </c>
      <c r="L24" s="134">
        <v>9000</v>
      </c>
      <c r="M24" s="134">
        <v>8000</v>
      </c>
      <c r="N24" s="127">
        <v>14000</v>
      </c>
      <c r="O24" s="17"/>
      <c r="P24" s="17"/>
    </row>
    <row r="25" spans="1:16" x14ac:dyDescent="0.3">
      <c r="A25" s="17"/>
      <c r="B25" s="221"/>
      <c r="C25" s="18" t="s">
        <v>191</v>
      </c>
      <c r="D25" s="126">
        <v>857870</v>
      </c>
      <c r="E25" s="126">
        <v>958860</v>
      </c>
      <c r="F25" s="126">
        <v>1018000</v>
      </c>
      <c r="G25" s="126">
        <v>1251700</v>
      </c>
      <c r="H25" s="126">
        <v>1275050</v>
      </c>
      <c r="I25" s="91">
        <v>1378350</v>
      </c>
      <c r="J25" s="71">
        <v>905450</v>
      </c>
      <c r="K25" s="137">
        <v>701250</v>
      </c>
      <c r="L25" s="134">
        <v>248900</v>
      </c>
      <c r="M25" s="134">
        <v>59000</v>
      </c>
      <c r="N25" s="127">
        <v>71000</v>
      </c>
      <c r="O25" s="17"/>
      <c r="P25" s="17"/>
    </row>
    <row r="26" spans="1:16" x14ac:dyDescent="0.3">
      <c r="A26" s="17"/>
      <c r="B26" s="205"/>
      <c r="C26" s="124" t="s">
        <v>192</v>
      </c>
      <c r="D26" s="129">
        <v>1163890</v>
      </c>
      <c r="E26" s="129">
        <v>1164510</v>
      </c>
      <c r="F26" s="129">
        <v>1281500</v>
      </c>
      <c r="G26" s="129">
        <v>1192040</v>
      </c>
      <c r="H26" s="129">
        <v>1094908</v>
      </c>
      <c r="I26" s="131">
        <v>1131050</v>
      </c>
      <c r="J26" s="80">
        <v>810400</v>
      </c>
      <c r="K26" s="129">
        <v>682150</v>
      </c>
      <c r="L26" s="135">
        <v>163500</v>
      </c>
      <c r="M26" s="135">
        <f>64000+111000</f>
        <v>175000</v>
      </c>
      <c r="N26" s="130">
        <f>114000+108000</f>
        <v>222000</v>
      </c>
      <c r="O26" s="132"/>
      <c r="P26" s="132"/>
    </row>
    <row r="27" spans="1:16" x14ac:dyDescent="0.3">
      <c r="A27" s="17"/>
      <c r="B27" s="221" t="s">
        <v>199</v>
      </c>
      <c r="C27" s="18" t="s">
        <v>190</v>
      </c>
      <c r="D27" s="126">
        <v>68940</v>
      </c>
      <c r="E27" s="126">
        <v>58380</v>
      </c>
      <c r="F27" s="126">
        <v>72150</v>
      </c>
      <c r="G27" s="126">
        <v>93800</v>
      </c>
      <c r="H27" s="126">
        <v>67700</v>
      </c>
      <c r="I27" s="91">
        <v>74050</v>
      </c>
      <c r="J27" s="71">
        <v>58500</v>
      </c>
      <c r="K27" s="137">
        <v>26500</v>
      </c>
      <c r="L27" s="134">
        <v>4000</v>
      </c>
      <c r="M27" s="134">
        <v>7000</v>
      </c>
      <c r="N27" s="127">
        <v>16000</v>
      </c>
      <c r="O27" s="17"/>
      <c r="P27" s="17"/>
    </row>
    <row r="28" spans="1:16" x14ac:dyDescent="0.3">
      <c r="A28" s="17"/>
      <c r="B28" s="221"/>
      <c r="C28" s="18" t="s">
        <v>191</v>
      </c>
      <c r="D28" s="126">
        <v>934740</v>
      </c>
      <c r="E28" s="126">
        <v>905840</v>
      </c>
      <c r="F28" s="126">
        <v>1068800</v>
      </c>
      <c r="G28" s="126">
        <v>1272450</v>
      </c>
      <c r="H28" s="126">
        <v>1110600</v>
      </c>
      <c r="I28" s="91">
        <v>1338600</v>
      </c>
      <c r="J28" s="71">
        <v>906400</v>
      </c>
      <c r="K28" s="137">
        <v>681700</v>
      </c>
      <c r="L28" s="134">
        <v>159800</v>
      </c>
      <c r="M28" s="134">
        <v>55000</v>
      </c>
      <c r="N28" s="127">
        <v>76000</v>
      </c>
      <c r="O28" s="17"/>
      <c r="P28" s="17"/>
    </row>
    <row r="29" spans="1:16" x14ac:dyDescent="0.3">
      <c r="A29" s="17"/>
      <c r="B29" s="205"/>
      <c r="C29" s="124" t="s">
        <v>192</v>
      </c>
      <c r="D29" s="129">
        <v>1308220</v>
      </c>
      <c r="E29" s="129">
        <v>1149120</v>
      </c>
      <c r="F29" s="129">
        <v>1269800</v>
      </c>
      <c r="G29" s="129">
        <v>1106440</v>
      </c>
      <c r="H29" s="129">
        <v>1031006</v>
      </c>
      <c r="I29" s="131">
        <v>1114433</v>
      </c>
      <c r="J29" s="80">
        <v>868250</v>
      </c>
      <c r="K29" s="129">
        <v>684100</v>
      </c>
      <c r="L29" s="135">
        <v>194000</v>
      </c>
      <c r="M29" s="135">
        <f>60000+112000</f>
        <v>172000</v>
      </c>
      <c r="N29" s="130">
        <f>169577+68000</f>
        <v>237577</v>
      </c>
      <c r="O29" s="132"/>
      <c r="P29" s="132"/>
    </row>
    <row r="30" spans="1:16" x14ac:dyDescent="0.3">
      <c r="A30" s="17"/>
      <c r="B30" s="221" t="s">
        <v>200</v>
      </c>
      <c r="C30" s="18" t="s">
        <v>190</v>
      </c>
      <c r="D30" s="126">
        <v>45880</v>
      </c>
      <c r="E30" s="126">
        <v>49090</v>
      </c>
      <c r="F30" s="126">
        <v>71300</v>
      </c>
      <c r="G30" s="126">
        <v>105230</v>
      </c>
      <c r="H30" s="126">
        <v>56700</v>
      </c>
      <c r="I30" s="91">
        <v>78800</v>
      </c>
      <c r="J30" s="71">
        <v>35500</v>
      </c>
      <c r="K30" s="138">
        <v>23000</v>
      </c>
      <c r="L30" s="134">
        <v>7000</v>
      </c>
      <c r="M30" s="134">
        <v>7000</v>
      </c>
      <c r="N30" s="127">
        <v>9000</v>
      </c>
      <c r="O30" s="17"/>
      <c r="P30" s="17"/>
    </row>
    <row r="31" spans="1:16" x14ac:dyDescent="0.3">
      <c r="A31" s="17"/>
      <c r="B31" s="221"/>
      <c r="C31" s="18" t="s">
        <v>191</v>
      </c>
      <c r="D31" s="126">
        <v>872400</v>
      </c>
      <c r="E31" s="126">
        <v>909970</v>
      </c>
      <c r="F31" s="126">
        <v>1097300</v>
      </c>
      <c r="G31" s="126">
        <v>1280760</v>
      </c>
      <c r="H31" s="126">
        <v>1189350</v>
      </c>
      <c r="I31" s="91">
        <v>1337450</v>
      </c>
      <c r="J31" s="71">
        <v>913850</v>
      </c>
      <c r="K31" s="138">
        <v>538000</v>
      </c>
      <c r="L31" s="134">
        <v>215788</v>
      </c>
      <c r="M31" s="134">
        <v>67000</v>
      </c>
      <c r="N31" s="127">
        <v>67000</v>
      </c>
      <c r="O31" s="17"/>
      <c r="P31" s="17"/>
    </row>
    <row r="32" spans="1:16" x14ac:dyDescent="0.3">
      <c r="A32" s="17"/>
      <c r="B32" s="205"/>
      <c r="C32" s="124" t="s">
        <v>192</v>
      </c>
      <c r="D32" s="129">
        <v>1208100</v>
      </c>
      <c r="E32" s="129">
        <v>1169750</v>
      </c>
      <c r="F32" s="129">
        <v>1266349</v>
      </c>
      <c r="G32" s="129">
        <v>1306060</v>
      </c>
      <c r="H32" s="129">
        <v>1025450</v>
      </c>
      <c r="I32" s="131">
        <v>1144196</v>
      </c>
      <c r="J32" s="80">
        <v>912250</v>
      </c>
      <c r="K32" s="129">
        <v>531300</v>
      </c>
      <c r="L32" s="135">
        <v>315009</v>
      </c>
      <c r="M32" s="135">
        <f>54000+135000</f>
        <v>189000</v>
      </c>
      <c r="N32" s="130">
        <f>172635+94000</f>
        <v>266635</v>
      </c>
      <c r="O32" s="132"/>
      <c r="P32" s="132"/>
    </row>
    <row r="33" spans="1:16" x14ac:dyDescent="0.3">
      <c r="A33" s="17"/>
      <c r="B33" s="221" t="s">
        <v>201</v>
      </c>
      <c r="C33" s="18" t="s">
        <v>190</v>
      </c>
      <c r="D33" s="126">
        <v>50220</v>
      </c>
      <c r="E33" s="126">
        <v>54760</v>
      </c>
      <c r="F33" s="126">
        <v>66750</v>
      </c>
      <c r="G33" s="126">
        <v>107350</v>
      </c>
      <c r="H33" s="126">
        <v>70970</v>
      </c>
      <c r="I33" s="91">
        <v>74900</v>
      </c>
      <c r="J33" s="71">
        <v>31500</v>
      </c>
      <c r="K33" s="139">
        <v>23500</v>
      </c>
      <c r="L33" s="134">
        <v>4000</v>
      </c>
      <c r="M33" s="134">
        <v>7000</v>
      </c>
      <c r="N33" s="127">
        <v>10000</v>
      </c>
      <c r="O33" s="17"/>
      <c r="P33" s="17"/>
    </row>
    <row r="34" spans="1:16" x14ac:dyDescent="0.3">
      <c r="A34" s="17"/>
      <c r="B34" s="221"/>
      <c r="C34" s="18" t="s">
        <v>191</v>
      </c>
      <c r="D34" s="126">
        <v>887150</v>
      </c>
      <c r="E34" s="126">
        <v>925340</v>
      </c>
      <c r="F34" s="126">
        <v>1090650</v>
      </c>
      <c r="G34" s="126">
        <v>1218600</v>
      </c>
      <c r="H34" s="126">
        <v>1155734</v>
      </c>
      <c r="I34" s="91">
        <v>1426000</v>
      </c>
      <c r="J34" s="71">
        <v>880150</v>
      </c>
      <c r="K34" s="139">
        <v>458350</v>
      </c>
      <c r="L34" s="134">
        <v>37000</v>
      </c>
      <c r="M34" s="134">
        <v>64000</v>
      </c>
      <c r="N34" s="127">
        <v>70000</v>
      </c>
      <c r="O34" s="17"/>
      <c r="P34" s="17"/>
    </row>
    <row r="35" spans="1:16" x14ac:dyDescent="0.3">
      <c r="A35" s="17"/>
      <c r="B35" s="205"/>
      <c r="C35" s="124" t="s">
        <v>192</v>
      </c>
      <c r="D35" s="129">
        <v>1181500</v>
      </c>
      <c r="E35" s="129">
        <v>1195020</v>
      </c>
      <c r="F35" s="129">
        <v>1232769</v>
      </c>
      <c r="G35" s="129">
        <v>1273111</v>
      </c>
      <c r="H35" s="129">
        <v>1038152</v>
      </c>
      <c r="I35" s="131">
        <v>1165022</v>
      </c>
      <c r="J35" s="80">
        <v>817200</v>
      </c>
      <c r="K35" s="129">
        <v>516750</v>
      </c>
      <c r="L35" s="135">
        <v>144000</v>
      </c>
      <c r="M35" s="135">
        <f>118000+109000</f>
        <v>227000</v>
      </c>
      <c r="N35" s="130">
        <f>65000+90000</f>
        <v>155000</v>
      </c>
      <c r="O35" s="132"/>
      <c r="P35" s="132"/>
    </row>
    <row r="36" spans="1:16" x14ac:dyDescent="0.3">
      <c r="A36" s="17"/>
      <c r="B36" s="221" t="s">
        <v>202</v>
      </c>
      <c r="C36" s="18" t="s">
        <v>190</v>
      </c>
      <c r="D36" s="126">
        <v>47990</v>
      </c>
      <c r="E36" s="126">
        <v>54480</v>
      </c>
      <c r="F36" s="126">
        <v>64030</v>
      </c>
      <c r="G36" s="126">
        <v>87600</v>
      </c>
      <c r="H36" s="126">
        <v>80190</v>
      </c>
      <c r="I36" s="91">
        <v>70450</v>
      </c>
      <c r="J36" s="71">
        <v>41000</v>
      </c>
      <c r="K36" s="140">
        <v>22000</v>
      </c>
      <c r="L36" s="134">
        <v>7000</v>
      </c>
      <c r="M36" s="134">
        <v>7000</v>
      </c>
      <c r="N36" s="127">
        <v>7000</v>
      </c>
      <c r="O36" s="17"/>
      <c r="P36" s="17"/>
    </row>
    <row r="37" spans="1:16" x14ac:dyDescent="0.3">
      <c r="A37" s="17"/>
      <c r="B37" s="221"/>
      <c r="C37" s="18" t="s">
        <v>191</v>
      </c>
      <c r="D37" s="126">
        <v>899900</v>
      </c>
      <c r="E37" s="126">
        <v>922160</v>
      </c>
      <c r="F37" s="126">
        <v>1085000</v>
      </c>
      <c r="G37" s="126">
        <v>1209640</v>
      </c>
      <c r="H37" s="126">
        <v>1227047</v>
      </c>
      <c r="I37" s="91">
        <v>1409800</v>
      </c>
      <c r="J37" s="71">
        <v>846850</v>
      </c>
      <c r="K37" s="140">
        <v>407650</v>
      </c>
      <c r="L37" s="134">
        <v>39000</v>
      </c>
      <c r="M37" s="134">
        <v>61000</v>
      </c>
      <c r="N37" s="127">
        <v>69000</v>
      </c>
      <c r="O37" s="17"/>
      <c r="P37" s="17"/>
    </row>
    <row r="38" spans="1:16" x14ac:dyDescent="0.3">
      <c r="A38" s="17"/>
      <c r="B38" s="205"/>
      <c r="C38" s="124" t="s">
        <v>192</v>
      </c>
      <c r="D38" s="129">
        <v>1212100</v>
      </c>
      <c r="E38" s="129">
        <v>1153530</v>
      </c>
      <c r="F38" s="129">
        <v>1207340</v>
      </c>
      <c r="G38" s="129">
        <v>1283189</v>
      </c>
      <c r="H38" s="129">
        <v>1099936</v>
      </c>
      <c r="I38" s="131">
        <v>1021214</v>
      </c>
      <c r="J38" s="80">
        <v>795800</v>
      </c>
      <c r="K38" s="80">
        <v>492750</v>
      </c>
      <c r="L38" s="135">
        <v>141000</v>
      </c>
      <c r="M38" s="135">
        <f>117000+125000</f>
        <v>242000</v>
      </c>
      <c r="N38" s="130">
        <f>41000+97000</f>
        <v>138000</v>
      </c>
      <c r="O38" s="132"/>
      <c r="P38" s="132"/>
    </row>
    <row r="39" spans="1:16" x14ac:dyDescent="0.3">
      <c r="A39" s="17"/>
      <c r="B39" s="221" t="s">
        <v>203</v>
      </c>
      <c r="C39" s="18" t="s">
        <v>190</v>
      </c>
      <c r="D39" s="126">
        <v>71540</v>
      </c>
      <c r="E39" s="126">
        <v>55620</v>
      </c>
      <c r="F39" s="126">
        <v>74850</v>
      </c>
      <c r="G39" s="126">
        <v>105000</v>
      </c>
      <c r="H39" s="126">
        <v>74200</v>
      </c>
      <c r="I39" s="91">
        <v>77100</v>
      </c>
      <c r="J39" s="71">
        <v>38000</v>
      </c>
      <c r="K39" s="141">
        <v>23000</v>
      </c>
      <c r="L39" s="134">
        <v>9000</v>
      </c>
      <c r="M39" s="134">
        <v>11000</v>
      </c>
      <c r="N39" s="127">
        <v>10000</v>
      </c>
      <c r="O39" s="17"/>
      <c r="P39" s="17"/>
    </row>
    <row r="40" spans="1:16" x14ac:dyDescent="0.3">
      <c r="A40" s="17"/>
      <c r="B40" s="221"/>
      <c r="C40" s="18" t="s">
        <v>191</v>
      </c>
      <c r="D40" s="126">
        <v>1021610</v>
      </c>
      <c r="E40" s="126">
        <v>938140</v>
      </c>
      <c r="F40" s="126">
        <v>1129650</v>
      </c>
      <c r="G40" s="126">
        <v>1228550</v>
      </c>
      <c r="H40" s="126">
        <v>1354897</v>
      </c>
      <c r="I40" s="91">
        <v>1460400</v>
      </c>
      <c r="J40" s="71">
        <v>894200</v>
      </c>
      <c r="K40" s="141">
        <v>457150</v>
      </c>
      <c r="L40" s="134">
        <v>45000</v>
      </c>
      <c r="M40" s="134">
        <v>69000</v>
      </c>
      <c r="N40" s="127">
        <v>92000</v>
      </c>
      <c r="O40" s="17"/>
      <c r="P40" s="17"/>
    </row>
    <row r="41" spans="1:16" x14ac:dyDescent="0.3">
      <c r="A41" s="17"/>
      <c r="B41" s="205"/>
      <c r="C41" s="124" t="s">
        <v>192</v>
      </c>
      <c r="D41" s="129">
        <v>1311920</v>
      </c>
      <c r="E41" s="129">
        <v>1228510</v>
      </c>
      <c r="F41" s="129">
        <v>1259770</v>
      </c>
      <c r="G41" s="129">
        <v>1328770</v>
      </c>
      <c r="H41" s="129">
        <v>1087065</v>
      </c>
      <c r="I41" s="131">
        <v>1040876</v>
      </c>
      <c r="J41" s="129">
        <v>830400</v>
      </c>
      <c r="K41" s="129">
        <v>468850</v>
      </c>
      <c r="L41" s="135">
        <v>137000</v>
      </c>
      <c r="M41" s="135">
        <f>111000+106000</f>
        <v>217000</v>
      </c>
      <c r="N41" s="130">
        <f>48000+98000</f>
        <v>146000</v>
      </c>
      <c r="O41" s="132"/>
      <c r="P41" s="132"/>
    </row>
    <row r="42" spans="1:16" x14ac:dyDescent="0.3">
      <c r="A42" s="17"/>
      <c r="B42" s="205" t="s">
        <v>204</v>
      </c>
      <c r="C42" s="205"/>
      <c r="D42" s="142">
        <f>SUM(D6:D41)/12</f>
        <v>2052170.8333333333</v>
      </c>
      <c r="E42" s="142">
        <f t="shared" ref="E42:M42" si="0">SUM(E6:E41)/12</f>
        <v>2248143.1666666665</v>
      </c>
      <c r="F42" s="142">
        <f t="shared" si="0"/>
        <v>2325475.6666666665</v>
      </c>
      <c r="G42" s="142">
        <f t="shared" si="0"/>
        <v>2475635</v>
      </c>
      <c r="H42" s="142">
        <f t="shared" si="0"/>
        <v>2347596.5833333335</v>
      </c>
      <c r="I42" s="142">
        <f t="shared" si="0"/>
        <v>2485041.4166666665</v>
      </c>
      <c r="J42" s="142">
        <f t="shared" si="0"/>
        <v>1951133.3333333333</v>
      </c>
      <c r="K42" s="142">
        <f t="shared" si="0"/>
        <v>1274079.1666666667</v>
      </c>
      <c r="L42" s="142">
        <f t="shared" si="0"/>
        <v>626896.66666666663</v>
      </c>
      <c r="M42" s="142">
        <f t="shared" si="0"/>
        <v>234916.66666666666</v>
      </c>
      <c r="N42" s="142">
        <f>SUM(N6:N41)/12</f>
        <v>288646.66666666669</v>
      </c>
      <c r="O42" s="132"/>
      <c r="P42" s="132"/>
    </row>
    <row r="43" spans="1:16" x14ac:dyDescent="0.3">
      <c r="A43" s="17"/>
      <c r="B43" s="143" t="s">
        <v>205</v>
      </c>
      <c r="C43" s="143"/>
      <c r="D43" s="143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17"/>
      <c r="P43" s="17"/>
    </row>
    <row r="44" spans="1:16" x14ac:dyDescent="0.3">
      <c r="A44" s="17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17"/>
      <c r="P44" s="17"/>
    </row>
    <row r="45" spans="1:16" ht="16.5" customHeight="1" x14ac:dyDescent="0.3">
      <c r="A45" s="17"/>
      <c r="B45" s="251" t="s">
        <v>206</v>
      </c>
      <c r="C45" s="252"/>
      <c r="D45" s="144">
        <f>D42/(D12+D13+D14)</f>
        <v>0.98690527716328424</v>
      </c>
      <c r="E45" s="144">
        <f t="shared" ref="E45:N45" si="1">E42/(E12+E13+E14)</f>
        <v>1.0983922704426545</v>
      </c>
      <c r="F45" s="144">
        <f t="shared" si="1"/>
        <v>1.0283799879125577</v>
      </c>
      <c r="G45" s="144">
        <f t="shared" si="1"/>
        <v>1.0834288840262583</v>
      </c>
      <c r="H45" s="144">
        <f t="shared" si="1"/>
        <v>0.99621626671838159</v>
      </c>
      <c r="I45" s="144">
        <f t="shared" si="1"/>
        <v>0.97501202233217676</v>
      </c>
      <c r="J45" s="144">
        <f t="shared" si="1"/>
        <v>0.89866353468591909</v>
      </c>
      <c r="K45" s="144">
        <f t="shared" si="1"/>
        <v>0.84518834234413531</v>
      </c>
      <c r="L45" s="144">
        <f t="shared" si="1"/>
        <v>0.43793970013068168</v>
      </c>
      <c r="M45" s="144">
        <f t="shared" si="1"/>
        <v>1.3050925925925925</v>
      </c>
      <c r="N45" s="144">
        <f t="shared" si="1"/>
        <v>0.87489631356193354</v>
      </c>
      <c r="O45" s="17"/>
      <c r="P45" s="17"/>
    </row>
    <row r="46" spans="1:16" x14ac:dyDescent="0.3">
      <c r="A46" s="17"/>
      <c r="B46" s="256" t="s">
        <v>207</v>
      </c>
      <c r="C46" s="257"/>
      <c r="D46" s="145"/>
      <c r="E46" s="146"/>
      <c r="F46" s="147"/>
      <c r="G46" s="146"/>
      <c r="H46" s="146"/>
      <c r="I46" s="146"/>
      <c r="J46" s="146"/>
      <c r="K46" s="146"/>
      <c r="L46" s="146"/>
      <c r="M46" s="146"/>
      <c r="N46" s="148">
        <f>(D45+E45+F45+G45+H45+I45+J45+K45+L45+M45)/(11)</f>
        <v>0.87774717075896758</v>
      </c>
      <c r="O46" s="17"/>
      <c r="P46" s="17"/>
    </row>
    <row r="47" spans="1:16" x14ac:dyDescent="0.3">
      <c r="A47" s="17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17"/>
      <c r="P47" s="17"/>
    </row>
    <row r="48" spans="1:16" x14ac:dyDescent="0.3">
      <c r="A48" s="17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17"/>
      <c r="P48" s="17"/>
    </row>
    <row r="49" spans="1:16" x14ac:dyDescent="0.3">
      <c r="A49" s="17"/>
      <c r="B49" s="251" t="s">
        <v>208</v>
      </c>
      <c r="C49" s="206"/>
      <c r="D49" s="206"/>
      <c r="E49" s="252"/>
      <c r="F49" s="149" t="s">
        <v>209</v>
      </c>
      <c r="G49" s="20"/>
      <c r="H49" s="20"/>
      <c r="I49" s="20"/>
      <c r="J49" s="20"/>
      <c r="K49" s="20"/>
      <c r="L49" s="20"/>
      <c r="M49" s="20"/>
      <c r="N49" s="20"/>
      <c r="O49" s="17"/>
      <c r="P49" s="17"/>
    </row>
    <row r="50" spans="1:16" x14ac:dyDescent="0.3">
      <c r="A50" s="17"/>
      <c r="B50" s="251"/>
      <c r="C50" s="206"/>
      <c r="D50" s="206"/>
      <c r="E50" s="206"/>
      <c r="F50" s="252"/>
      <c r="G50" s="20"/>
      <c r="H50" s="150"/>
      <c r="I50" s="20"/>
      <c r="J50" s="20"/>
      <c r="K50" s="20"/>
      <c r="L50" s="20"/>
      <c r="M50" s="20"/>
      <c r="N50" s="20"/>
      <c r="O50" s="17"/>
      <c r="P50" s="17"/>
    </row>
    <row r="51" spans="1:16" x14ac:dyDescent="0.3">
      <c r="A51" s="17"/>
      <c r="B51" s="253" t="s">
        <v>210</v>
      </c>
      <c r="C51" s="254"/>
      <c r="D51" s="255"/>
      <c r="E51" s="149" t="s">
        <v>211</v>
      </c>
      <c r="F51" s="151"/>
      <c r="G51" s="20"/>
      <c r="H51" s="20"/>
      <c r="I51" s="20"/>
      <c r="J51" s="20"/>
      <c r="K51" s="20"/>
      <c r="L51" s="20"/>
      <c r="M51" s="20"/>
      <c r="N51" s="20"/>
      <c r="O51" s="17"/>
      <c r="P51" s="17"/>
    </row>
    <row r="52" spans="1:16" x14ac:dyDescent="0.3">
      <c r="A52" s="17"/>
      <c r="B52" s="253" t="s">
        <v>212</v>
      </c>
      <c r="C52" s="254"/>
      <c r="D52" s="255"/>
      <c r="E52" s="149" t="s">
        <v>75</v>
      </c>
      <c r="F52" s="151">
        <f>+N46</f>
        <v>0.87774717075896758</v>
      </c>
      <c r="G52" s="20"/>
      <c r="H52" s="20"/>
      <c r="I52" s="20"/>
      <c r="J52" s="20"/>
      <c r="K52" s="20"/>
      <c r="L52" s="20"/>
      <c r="M52" s="20"/>
      <c r="N52" s="20"/>
      <c r="O52" s="17"/>
      <c r="P52" s="17"/>
    </row>
    <row r="53" spans="1:16" x14ac:dyDescent="0.3">
      <c r="A53" s="17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17"/>
      <c r="P53" s="17"/>
    </row>
    <row r="54" spans="1:16" x14ac:dyDescent="0.3">
      <c r="A54" s="17"/>
      <c r="B54" s="152"/>
      <c r="C54" s="152"/>
      <c r="D54" s="152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17"/>
      <c r="P54" s="17"/>
    </row>
  </sheetData>
  <mergeCells count="21">
    <mergeCell ref="B33:B35"/>
    <mergeCell ref="A1:M2"/>
    <mergeCell ref="B3:P4"/>
    <mergeCell ref="B6:B8"/>
    <mergeCell ref="B9:B11"/>
    <mergeCell ref="B12:B14"/>
    <mergeCell ref="B15:B17"/>
    <mergeCell ref="B18:B20"/>
    <mergeCell ref="B21:B23"/>
    <mergeCell ref="B24:B26"/>
    <mergeCell ref="B27:B29"/>
    <mergeCell ref="B30:B32"/>
    <mergeCell ref="B50:F50"/>
    <mergeCell ref="B51:D51"/>
    <mergeCell ref="B52:D52"/>
    <mergeCell ref="B36:B38"/>
    <mergeCell ref="B39:B41"/>
    <mergeCell ref="B42:C42"/>
    <mergeCell ref="B45:C45"/>
    <mergeCell ref="B46:C46"/>
    <mergeCell ref="B49:E4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ACB44-1CE1-4051-81C1-494225EB4AE0}">
  <dimension ref="A1:AH84"/>
  <sheetViews>
    <sheetView showGridLines="0" zoomScale="55" zoomScaleNormal="55" workbookViewId="0">
      <selection sqref="A1:M2"/>
    </sheetView>
  </sheetViews>
  <sheetFormatPr baseColWidth="10" defaultColWidth="11.5546875" defaultRowHeight="14.4" x14ac:dyDescent="0.3"/>
  <cols>
    <col min="4" max="4" width="19.5546875" customWidth="1"/>
    <col min="11" max="11" width="13.44140625" bestFit="1" customWidth="1"/>
    <col min="12" max="12" width="14.6640625" bestFit="1" customWidth="1"/>
    <col min="13" max="14" width="16" bestFit="1" customWidth="1"/>
    <col min="15" max="15" width="13.6640625" bestFit="1" customWidth="1"/>
    <col min="18" max="18" width="20" customWidth="1"/>
    <col min="19" max="19" width="19.109375" bestFit="1" customWidth="1"/>
    <col min="20" max="20" width="14.109375" bestFit="1" customWidth="1"/>
    <col min="21" max="21" width="14.44140625" bestFit="1" customWidth="1"/>
    <col min="22" max="22" width="14.109375" bestFit="1" customWidth="1"/>
    <col min="23" max="23" width="14.44140625" bestFit="1" customWidth="1"/>
    <col min="24" max="24" width="15" bestFit="1" customWidth="1"/>
    <col min="25" max="29" width="13.88671875" bestFit="1" customWidth="1"/>
    <col min="30" max="30" width="13.6640625" bestFit="1" customWidth="1"/>
    <col min="31" max="31" width="14.44140625" bestFit="1" customWidth="1"/>
  </cols>
  <sheetData>
    <row r="1" spans="1:34" x14ac:dyDescent="0.3">
      <c r="A1" s="262" t="s">
        <v>213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</row>
    <row r="2" spans="1:34" x14ac:dyDescent="0.3">
      <c r="A2" s="262"/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</row>
    <row r="3" spans="1:34" ht="19.2" x14ac:dyDescent="0.3">
      <c r="A3" s="263" t="s">
        <v>214</v>
      </c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</row>
    <row r="4" spans="1:34" x14ac:dyDescent="0.3">
      <c r="R4" s="221" t="s">
        <v>215</v>
      </c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</row>
    <row r="5" spans="1:34" ht="15" customHeight="1" x14ac:dyDescent="0.3">
      <c r="A5" s="202"/>
      <c r="B5" s="196" t="s">
        <v>216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</row>
    <row r="6" spans="1:34" x14ac:dyDescent="0.3">
      <c r="A6" s="202"/>
      <c r="B6" s="153" t="s">
        <v>91</v>
      </c>
      <c r="C6" s="153" t="s">
        <v>92</v>
      </c>
      <c r="D6" s="153" t="s">
        <v>93</v>
      </c>
      <c r="E6" s="153" t="s">
        <v>94</v>
      </c>
      <c r="F6" s="153" t="s">
        <v>95</v>
      </c>
      <c r="G6" s="153" t="s">
        <v>96</v>
      </c>
      <c r="H6" s="153" t="s">
        <v>97</v>
      </c>
      <c r="I6" s="153" t="s">
        <v>98</v>
      </c>
      <c r="J6" s="153" t="s">
        <v>99</v>
      </c>
      <c r="K6" s="153" t="s">
        <v>100</v>
      </c>
      <c r="L6" s="153" t="s">
        <v>101</v>
      </c>
      <c r="M6" s="153" t="s">
        <v>102</v>
      </c>
      <c r="R6" s="154" t="s">
        <v>167</v>
      </c>
      <c r="S6" s="155" t="s">
        <v>91</v>
      </c>
      <c r="T6" s="155" t="s">
        <v>92</v>
      </c>
      <c r="U6" s="155" t="s">
        <v>93</v>
      </c>
      <c r="V6" s="155" t="s">
        <v>94</v>
      </c>
      <c r="W6" s="155" t="s">
        <v>95</v>
      </c>
      <c r="X6" s="155" t="s">
        <v>96</v>
      </c>
      <c r="Y6" s="155" t="s">
        <v>97</v>
      </c>
      <c r="Z6" s="155" t="s">
        <v>98</v>
      </c>
      <c r="AA6" s="155" t="s">
        <v>99</v>
      </c>
      <c r="AB6" s="155" t="s">
        <v>100</v>
      </c>
      <c r="AC6" s="155" t="s">
        <v>101</v>
      </c>
      <c r="AD6" s="155" t="s">
        <v>102</v>
      </c>
      <c r="AE6" s="155" t="s">
        <v>20</v>
      </c>
      <c r="AG6" s="156" t="s">
        <v>217</v>
      </c>
      <c r="AH6" s="156" t="s">
        <v>218</v>
      </c>
    </row>
    <row r="7" spans="1:34" x14ac:dyDescent="0.3">
      <c r="A7" s="202"/>
      <c r="B7" s="102" t="s">
        <v>219</v>
      </c>
      <c r="C7" s="102" t="s">
        <v>219</v>
      </c>
      <c r="D7" s="102" t="s">
        <v>219</v>
      </c>
      <c r="E7" s="102" t="s">
        <v>219</v>
      </c>
      <c r="F7" s="102" t="s">
        <v>219</v>
      </c>
      <c r="G7" s="102" t="s">
        <v>219</v>
      </c>
      <c r="H7" s="102" t="s">
        <v>219</v>
      </c>
      <c r="I7" s="102" t="s">
        <v>219</v>
      </c>
      <c r="J7" s="102" t="s">
        <v>219</v>
      </c>
      <c r="K7" s="102" t="s">
        <v>219</v>
      </c>
      <c r="L7" s="102" t="s">
        <v>219</v>
      </c>
      <c r="M7" s="102" t="s">
        <v>219</v>
      </c>
      <c r="R7" s="157" t="s">
        <v>220</v>
      </c>
      <c r="S7" s="150">
        <f>B17+B44+B71</f>
        <v>161805.34</v>
      </c>
      <c r="T7" s="150">
        <f t="shared" ref="T7:AD17" si="0">C17+C44+C71</f>
        <v>177011.22</v>
      </c>
      <c r="U7" s="150">
        <f t="shared" si="0"/>
        <v>166640.48000000001</v>
      </c>
      <c r="V7" s="150">
        <f t="shared" si="0"/>
        <v>161884.10000000003</v>
      </c>
      <c r="W7" s="150">
        <f t="shared" si="0"/>
        <v>168810.51</v>
      </c>
      <c r="X7" s="150">
        <f t="shared" si="0"/>
        <v>155913.41999999998</v>
      </c>
      <c r="Y7" s="150">
        <f t="shared" si="0"/>
        <v>165116.15000000002</v>
      </c>
      <c r="Z7" s="150">
        <f t="shared" si="0"/>
        <v>157703.62</v>
      </c>
      <c r="AA7" s="150">
        <f t="shared" si="0"/>
        <v>165775.1</v>
      </c>
      <c r="AB7" s="150">
        <f t="shared" si="0"/>
        <v>165704.03</v>
      </c>
      <c r="AC7" s="150">
        <f t="shared" si="0"/>
        <v>158554.54</v>
      </c>
      <c r="AD7" s="150">
        <f t="shared" si="0"/>
        <v>169838.61</v>
      </c>
      <c r="AE7" s="158">
        <f>SUM(S7:AD7)/12</f>
        <v>164563.09333333338</v>
      </c>
      <c r="AG7" s="159">
        <f>AE7/U7</f>
        <v>0.98753372129829065</v>
      </c>
      <c r="AH7" s="160"/>
    </row>
    <row r="8" spans="1:34" x14ac:dyDescent="0.3">
      <c r="A8" s="161">
        <v>1996</v>
      </c>
      <c r="B8" s="162">
        <v>51036</v>
      </c>
      <c r="C8" s="162">
        <v>63461</v>
      </c>
      <c r="D8" s="162">
        <v>54647</v>
      </c>
      <c r="E8" s="162">
        <v>56647</v>
      </c>
      <c r="F8" s="162">
        <v>58048</v>
      </c>
      <c r="G8" s="162">
        <v>57064</v>
      </c>
      <c r="H8" s="162">
        <v>58377</v>
      </c>
      <c r="I8" s="162">
        <v>60162</v>
      </c>
      <c r="J8" s="162">
        <v>58504</v>
      </c>
      <c r="K8" s="162">
        <v>58184</v>
      </c>
      <c r="L8" s="162">
        <v>62609</v>
      </c>
      <c r="M8" s="162">
        <v>59485</v>
      </c>
      <c r="R8" s="157" t="s">
        <v>221</v>
      </c>
      <c r="S8" s="150">
        <f t="shared" ref="S8:S17" si="1">B18+B45+B72</f>
        <v>156378.62000000002</v>
      </c>
      <c r="T8" s="150">
        <f t="shared" si="0"/>
        <v>164736.49</v>
      </c>
      <c r="U8" s="150">
        <f t="shared" si="0"/>
        <v>165223.28999999998</v>
      </c>
      <c r="V8" s="150">
        <f t="shared" si="0"/>
        <v>162459.9</v>
      </c>
      <c r="W8" s="150">
        <f t="shared" si="0"/>
        <v>161772.01</v>
      </c>
      <c r="X8" s="150">
        <f t="shared" si="0"/>
        <v>153464.35999999999</v>
      </c>
      <c r="Y8" s="150">
        <f t="shared" si="0"/>
        <v>167195.84</v>
      </c>
      <c r="Z8" s="150">
        <f t="shared" si="0"/>
        <v>169298.35</v>
      </c>
      <c r="AA8" s="150">
        <f t="shared" si="0"/>
        <v>167629.95000000001</v>
      </c>
      <c r="AB8" s="150">
        <f t="shared" si="0"/>
        <v>173529.7</v>
      </c>
      <c r="AC8" s="150">
        <f t="shared" si="0"/>
        <v>171914.27</v>
      </c>
      <c r="AD8" s="150">
        <f t="shared" si="0"/>
        <v>170172.72</v>
      </c>
      <c r="AE8" s="158">
        <f t="shared" ref="AE8:AE17" si="2">SUM(S8:AD8)/12</f>
        <v>165314.625</v>
      </c>
      <c r="AG8" s="159">
        <f t="shared" ref="AG8:AG17" si="3">AE8/U8</f>
        <v>1.0005527973689425</v>
      </c>
      <c r="AH8" s="160"/>
    </row>
    <row r="9" spans="1:34" x14ac:dyDescent="0.3">
      <c r="A9" s="161" t="s">
        <v>222</v>
      </c>
      <c r="B9" s="162">
        <v>59159</v>
      </c>
      <c r="C9" s="162">
        <v>60094</v>
      </c>
      <c r="D9" s="162">
        <v>54615</v>
      </c>
      <c r="E9" s="162">
        <v>63033</v>
      </c>
      <c r="F9" s="162">
        <v>61793</v>
      </c>
      <c r="G9" s="162">
        <v>56240</v>
      </c>
      <c r="H9" s="162">
        <v>63544</v>
      </c>
      <c r="I9" s="162">
        <v>59387</v>
      </c>
      <c r="J9" s="162">
        <v>62407</v>
      </c>
      <c r="K9" s="162">
        <v>59035</v>
      </c>
      <c r="L9" s="162">
        <v>60781</v>
      </c>
      <c r="M9" s="162">
        <v>63630</v>
      </c>
      <c r="R9" s="157" t="s">
        <v>223</v>
      </c>
      <c r="S9" s="150">
        <f t="shared" si="1"/>
        <v>156436.66</v>
      </c>
      <c r="T9" s="150">
        <f t="shared" si="0"/>
        <v>160977.84000000003</v>
      </c>
      <c r="U9" s="150">
        <f t="shared" si="0"/>
        <v>178121.45</v>
      </c>
      <c r="V9" s="150">
        <f t="shared" si="0"/>
        <v>159953.66</v>
      </c>
      <c r="W9" s="150">
        <f t="shared" si="0"/>
        <v>171201.79</v>
      </c>
      <c r="X9" s="150">
        <f t="shared" si="0"/>
        <v>168235.1</v>
      </c>
      <c r="Y9" s="150">
        <f t="shared" si="0"/>
        <v>164671.15000000002</v>
      </c>
      <c r="Z9" s="150">
        <f t="shared" si="0"/>
        <v>165674.13999999998</v>
      </c>
      <c r="AA9" s="150">
        <f t="shared" si="0"/>
        <v>172618.32</v>
      </c>
      <c r="AB9" s="150">
        <f t="shared" si="0"/>
        <v>162731.01999999999</v>
      </c>
      <c r="AC9" s="150">
        <f t="shared" si="0"/>
        <v>173893.05999999997</v>
      </c>
      <c r="AD9" s="150">
        <f t="shared" si="0"/>
        <v>183610.11</v>
      </c>
      <c r="AE9" s="158">
        <f t="shared" si="2"/>
        <v>168177.02499999999</v>
      </c>
      <c r="AG9" s="159">
        <f t="shared" si="3"/>
        <v>0.94417053645139304</v>
      </c>
      <c r="AH9" s="160"/>
    </row>
    <row r="10" spans="1:34" x14ac:dyDescent="0.3">
      <c r="A10" s="161" t="s">
        <v>224</v>
      </c>
      <c r="B10" s="162">
        <v>58100</v>
      </c>
      <c r="C10" s="162">
        <v>61317</v>
      </c>
      <c r="D10" s="162">
        <v>59224</v>
      </c>
      <c r="E10" s="162">
        <v>63602</v>
      </c>
      <c r="F10" s="162">
        <v>59712</v>
      </c>
      <c r="G10" s="162">
        <v>58303</v>
      </c>
      <c r="H10" s="162">
        <v>62972</v>
      </c>
      <c r="I10" s="162">
        <v>58298</v>
      </c>
      <c r="J10" s="162">
        <v>61276</v>
      </c>
      <c r="K10" s="162">
        <v>61159</v>
      </c>
      <c r="L10" s="162">
        <v>58603</v>
      </c>
      <c r="M10" s="162">
        <v>57927</v>
      </c>
      <c r="R10" s="157" t="s">
        <v>225</v>
      </c>
      <c r="S10" s="150">
        <f t="shared" si="1"/>
        <v>160804.93</v>
      </c>
      <c r="T10" s="150">
        <f t="shared" si="0"/>
        <v>179675.04</v>
      </c>
      <c r="U10" s="150">
        <f t="shared" si="0"/>
        <v>162343.03</v>
      </c>
      <c r="V10" s="150">
        <f t="shared" si="0"/>
        <v>165466.54</v>
      </c>
      <c r="W10" s="150">
        <f t="shared" si="0"/>
        <v>181213.96</v>
      </c>
      <c r="X10" s="150">
        <f t="shared" si="0"/>
        <v>164104.65</v>
      </c>
      <c r="Y10" s="150">
        <f t="shared" si="0"/>
        <v>167385.13999999998</v>
      </c>
      <c r="Z10" s="150">
        <f t="shared" si="0"/>
        <v>166056.81000000003</v>
      </c>
      <c r="AA10" s="150">
        <f t="shared" si="0"/>
        <v>175159.62</v>
      </c>
      <c r="AB10" s="150">
        <f t="shared" si="0"/>
        <v>168935.83</v>
      </c>
      <c r="AC10" s="150">
        <f t="shared" si="0"/>
        <v>157010.56</v>
      </c>
      <c r="AD10" s="150">
        <f t="shared" si="0"/>
        <v>169722.58</v>
      </c>
      <c r="AE10" s="158">
        <f t="shared" si="2"/>
        <v>168156.55750000002</v>
      </c>
      <c r="AG10" s="159">
        <f t="shared" si="3"/>
        <v>1.0358101453447064</v>
      </c>
      <c r="AH10" s="160"/>
    </row>
    <row r="11" spans="1:34" x14ac:dyDescent="0.3">
      <c r="A11" s="161" t="s">
        <v>226</v>
      </c>
      <c r="B11" s="162">
        <v>50359</v>
      </c>
      <c r="C11" s="162">
        <v>54361</v>
      </c>
      <c r="D11" s="162">
        <v>57672</v>
      </c>
      <c r="E11" s="162">
        <v>51395</v>
      </c>
      <c r="F11" s="162">
        <v>52100</v>
      </c>
      <c r="G11" s="162">
        <v>47060</v>
      </c>
      <c r="H11" s="162">
        <v>54855</v>
      </c>
      <c r="I11" s="162">
        <v>55054</v>
      </c>
      <c r="J11" s="162">
        <v>54870</v>
      </c>
      <c r="K11" s="162">
        <v>52058</v>
      </c>
      <c r="L11" s="162">
        <v>58603</v>
      </c>
      <c r="M11" s="162">
        <v>54589</v>
      </c>
      <c r="R11" s="157" t="s">
        <v>227</v>
      </c>
      <c r="S11" s="150">
        <f t="shared" si="1"/>
        <v>162855.71</v>
      </c>
      <c r="T11" s="150">
        <f t="shared" si="0"/>
        <v>175746.24</v>
      </c>
      <c r="U11" s="150">
        <f t="shared" si="0"/>
        <v>158959.57999999999</v>
      </c>
      <c r="V11" s="150">
        <f t="shared" si="0"/>
        <v>156329.98000000001</v>
      </c>
      <c r="W11" s="150">
        <f t="shared" si="0"/>
        <v>235626.23</v>
      </c>
      <c r="X11" s="150">
        <f t="shared" si="0"/>
        <v>158196.46000000002</v>
      </c>
      <c r="Y11" s="150">
        <f t="shared" si="0"/>
        <v>172033.15</v>
      </c>
      <c r="Z11" s="150">
        <f t="shared" si="0"/>
        <v>166458.55000000002</v>
      </c>
      <c r="AA11" s="150">
        <f t="shared" si="0"/>
        <v>174471.61000000002</v>
      </c>
      <c r="AB11" s="150">
        <f t="shared" si="0"/>
        <v>179078.11000000002</v>
      </c>
      <c r="AC11" s="150">
        <f t="shared" si="0"/>
        <v>170964.56000000003</v>
      </c>
      <c r="AD11" s="150">
        <f t="shared" si="0"/>
        <v>180481</v>
      </c>
      <c r="AE11" s="158">
        <f t="shared" si="2"/>
        <v>174266.76500000001</v>
      </c>
      <c r="AG11" s="159">
        <f t="shared" si="3"/>
        <v>1.0962960835704274</v>
      </c>
      <c r="AH11" s="163">
        <f>SUM(AG7:AG17)/11</f>
        <v>1.0164367909654048</v>
      </c>
    </row>
    <row r="12" spans="1:34" x14ac:dyDescent="0.3">
      <c r="A12" s="161" t="s">
        <v>228</v>
      </c>
      <c r="B12" s="162">
        <v>56283</v>
      </c>
      <c r="C12" s="162">
        <v>58347</v>
      </c>
      <c r="D12" s="162">
        <v>59968</v>
      </c>
      <c r="E12" s="162">
        <v>56235</v>
      </c>
      <c r="F12" s="162">
        <v>54397</v>
      </c>
      <c r="G12" s="162">
        <v>63931</v>
      </c>
      <c r="H12" s="162">
        <v>58582</v>
      </c>
      <c r="I12" s="162">
        <v>62901</v>
      </c>
      <c r="J12" s="162">
        <v>64842</v>
      </c>
      <c r="K12" s="162">
        <v>62494</v>
      </c>
      <c r="L12" s="162">
        <v>64763</v>
      </c>
      <c r="M12" s="162">
        <v>63302</v>
      </c>
      <c r="R12" s="157" t="s">
        <v>229</v>
      </c>
      <c r="S12" s="150">
        <f t="shared" si="1"/>
        <v>178606.58</v>
      </c>
      <c r="T12" s="150">
        <f t="shared" si="0"/>
        <v>181761.85</v>
      </c>
      <c r="U12" s="150">
        <f t="shared" si="0"/>
        <v>198054.22</v>
      </c>
      <c r="V12" s="150">
        <f t="shared" si="0"/>
        <v>184778.37</v>
      </c>
      <c r="W12" s="150">
        <f t="shared" si="0"/>
        <v>186316.7</v>
      </c>
      <c r="X12" s="150">
        <f t="shared" si="0"/>
        <v>190573.76</v>
      </c>
      <c r="Y12" s="150">
        <f t="shared" si="0"/>
        <v>190380.73</v>
      </c>
      <c r="Z12" s="150">
        <f t="shared" si="0"/>
        <v>196351.59</v>
      </c>
      <c r="AA12" s="150">
        <f t="shared" si="0"/>
        <v>200041.88999999998</v>
      </c>
      <c r="AB12" s="150">
        <f t="shared" si="0"/>
        <v>196827.52000000002</v>
      </c>
      <c r="AC12" s="150">
        <f t="shared" si="0"/>
        <v>194320.65</v>
      </c>
      <c r="AD12" s="150">
        <f t="shared" si="0"/>
        <v>205412.66</v>
      </c>
      <c r="AE12" s="158">
        <f t="shared" si="2"/>
        <v>191952.21</v>
      </c>
      <c r="AG12" s="159">
        <f t="shared" si="3"/>
        <v>0.96919020458135141</v>
      </c>
      <c r="AH12" s="160"/>
    </row>
    <row r="13" spans="1:34" x14ac:dyDescent="0.3">
      <c r="A13" s="161" t="s">
        <v>230</v>
      </c>
      <c r="B13" s="162">
        <v>62931</v>
      </c>
      <c r="C13" s="162">
        <v>63150</v>
      </c>
      <c r="D13" s="162">
        <v>67335</v>
      </c>
      <c r="E13" s="162">
        <v>64274</v>
      </c>
      <c r="F13" s="162">
        <v>60291</v>
      </c>
      <c r="G13" s="162">
        <v>63261</v>
      </c>
      <c r="H13" s="162">
        <v>49510</v>
      </c>
      <c r="I13" s="162">
        <v>55524</v>
      </c>
      <c r="J13" s="162">
        <v>53997</v>
      </c>
      <c r="K13" s="162">
        <v>63366</v>
      </c>
      <c r="L13" s="162">
        <v>57781</v>
      </c>
      <c r="M13" s="162">
        <v>57864</v>
      </c>
      <c r="R13" s="157" t="s">
        <v>231</v>
      </c>
      <c r="S13" s="150">
        <f t="shared" si="1"/>
        <v>193570.88</v>
      </c>
      <c r="T13" s="150">
        <f t="shared" si="0"/>
        <v>195602.1</v>
      </c>
      <c r="U13" s="150">
        <f t="shared" si="0"/>
        <v>207357.98</v>
      </c>
      <c r="V13" s="150">
        <f t="shared" si="0"/>
        <v>199834.57</v>
      </c>
      <c r="W13" s="150">
        <f t="shared" si="0"/>
        <v>204614.86</v>
      </c>
      <c r="X13" s="150">
        <f t="shared" si="0"/>
        <v>203927.62</v>
      </c>
      <c r="Y13" s="150">
        <f t="shared" si="0"/>
        <v>204463.25</v>
      </c>
      <c r="Z13" s="150">
        <f t="shared" si="0"/>
        <v>213440.16</v>
      </c>
      <c r="AA13" s="150">
        <f t="shared" si="0"/>
        <v>216342.01</v>
      </c>
      <c r="AB13" s="150">
        <f t="shared" si="0"/>
        <v>211011.03000000003</v>
      </c>
      <c r="AC13" s="150">
        <f t="shared" si="0"/>
        <v>212741.65999999997</v>
      </c>
      <c r="AD13" s="150">
        <f>M23+M50+M77</f>
        <v>218757.91999999998</v>
      </c>
      <c r="AE13" s="158">
        <f t="shared" si="2"/>
        <v>206805.33666666667</v>
      </c>
      <c r="AG13" s="159">
        <f t="shared" si="3"/>
        <v>0.99733483450536442</v>
      </c>
      <c r="AH13" s="160"/>
    </row>
    <row r="14" spans="1:34" x14ac:dyDescent="0.3">
      <c r="A14" s="161" t="s">
        <v>232</v>
      </c>
      <c r="B14" s="162">
        <v>54334.67</v>
      </c>
      <c r="C14" s="162">
        <v>60196.47</v>
      </c>
      <c r="D14" s="162">
        <v>55412.2</v>
      </c>
      <c r="E14" s="162">
        <v>59757.15</v>
      </c>
      <c r="F14" s="162">
        <v>56037.71</v>
      </c>
      <c r="G14" s="162">
        <v>55664.5</v>
      </c>
      <c r="H14" s="162">
        <v>58636.25</v>
      </c>
      <c r="I14" s="162">
        <v>62285.48</v>
      </c>
      <c r="J14" s="162">
        <v>62012</v>
      </c>
      <c r="K14" s="162">
        <v>65722.25</v>
      </c>
      <c r="L14" s="162">
        <v>62416.08</v>
      </c>
      <c r="M14" s="162">
        <v>66871.73</v>
      </c>
      <c r="R14" s="157" t="s">
        <v>233</v>
      </c>
      <c r="S14" s="150">
        <f t="shared" si="1"/>
        <v>213160.39999999997</v>
      </c>
      <c r="T14" s="150">
        <f t="shared" si="0"/>
        <v>221790.42</v>
      </c>
      <c r="U14" s="150">
        <f t="shared" si="0"/>
        <v>220238.95</v>
      </c>
      <c r="V14" s="150">
        <f t="shared" si="0"/>
        <v>208032.08</v>
      </c>
      <c r="W14" s="150">
        <f t="shared" si="0"/>
        <v>208401.83000000002</v>
      </c>
      <c r="X14" s="150">
        <f t="shared" si="0"/>
        <v>220026.96000000002</v>
      </c>
      <c r="Y14" s="150">
        <f t="shared" si="0"/>
        <v>216539.09000000003</v>
      </c>
      <c r="Z14" s="150">
        <f t="shared" si="0"/>
        <v>216748.19999999998</v>
      </c>
      <c r="AA14" s="150">
        <f t="shared" si="0"/>
        <v>218833.78</v>
      </c>
      <c r="AB14" s="150">
        <f t="shared" si="0"/>
        <v>217691.49</v>
      </c>
      <c r="AC14" s="150">
        <f t="shared" si="0"/>
        <v>225035.38999999998</v>
      </c>
      <c r="AD14" s="150">
        <f t="shared" si="0"/>
        <v>220463.68999999997</v>
      </c>
      <c r="AE14" s="158">
        <f t="shared" si="2"/>
        <v>217246.85666666669</v>
      </c>
      <c r="AG14" s="159">
        <f t="shared" si="3"/>
        <v>0.98641433164599934</v>
      </c>
      <c r="AH14" s="160"/>
    </row>
    <row r="15" spans="1:34" x14ac:dyDescent="0.3">
      <c r="A15" s="161" t="s">
        <v>234</v>
      </c>
      <c r="B15" s="162">
        <v>64268.78</v>
      </c>
      <c r="C15" s="162">
        <v>68519.039999999994</v>
      </c>
      <c r="D15" s="162">
        <v>69304.58</v>
      </c>
      <c r="E15" s="162">
        <v>66740.56</v>
      </c>
      <c r="F15" s="162">
        <v>69883.350000000006</v>
      </c>
      <c r="G15" s="162">
        <v>64952.95</v>
      </c>
      <c r="H15" s="162">
        <v>71705.66</v>
      </c>
      <c r="I15" s="162">
        <v>70426.13</v>
      </c>
      <c r="J15" s="162">
        <v>72838.350000000006</v>
      </c>
      <c r="K15" s="162">
        <v>70314.95</v>
      </c>
      <c r="L15" s="162">
        <v>69910.12</v>
      </c>
      <c r="M15" s="162">
        <v>76815.570000000007</v>
      </c>
      <c r="R15" s="157" t="s">
        <v>235</v>
      </c>
      <c r="S15" s="150">
        <f t="shared" si="1"/>
        <v>220476.48</v>
      </c>
      <c r="T15" s="150">
        <f t="shared" si="0"/>
        <v>208617.99</v>
      </c>
      <c r="U15" s="150">
        <f t="shared" si="0"/>
        <v>202396.44</v>
      </c>
      <c r="V15" s="150">
        <f t="shared" si="0"/>
        <v>227384.99</v>
      </c>
      <c r="W15" s="150">
        <f t="shared" si="0"/>
        <v>215899.05999999997</v>
      </c>
      <c r="X15" s="150">
        <f t="shared" si="0"/>
        <v>219279.75999999998</v>
      </c>
      <c r="Y15" s="150">
        <f t="shared" si="0"/>
        <v>220108.67</v>
      </c>
      <c r="Z15" s="150">
        <f t="shared" si="0"/>
        <v>205895.86000000002</v>
      </c>
      <c r="AA15" s="150">
        <f t="shared" si="0"/>
        <v>219022.62000000002</v>
      </c>
      <c r="AB15" s="150">
        <f t="shared" si="0"/>
        <v>229726.46</v>
      </c>
      <c r="AC15" s="150">
        <f t="shared" si="0"/>
        <v>227704.56999999998</v>
      </c>
      <c r="AD15" s="150">
        <f t="shared" si="0"/>
        <v>231745.25</v>
      </c>
      <c r="AE15" s="158">
        <f t="shared" si="2"/>
        <v>219021.51249999998</v>
      </c>
      <c r="AG15" s="159">
        <f t="shared" si="3"/>
        <v>1.0821411310396565</v>
      </c>
      <c r="AH15" s="160"/>
    </row>
    <row r="16" spans="1:34" x14ac:dyDescent="0.3">
      <c r="A16" s="161" t="s">
        <v>236</v>
      </c>
      <c r="B16" s="162">
        <v>65931.78</v>
      </c>
      <c r="C16" s="162">
        <v>75454.64</v>
      </c>
      <c r="D16" s="162">
        <v>74435.88</v>
      </c>
      <c r="E16" s="162">
        <v>71313.95</v>
      </c>
      <c r="F16" s="162">
        <v>77176.25</v>
      </c>
      <c r="G16" s="162">
        <v>73497.03</v>
      </c>
      <c r="H16" s="162">
        <v>77104.25</v>
      </c>
      <c r="I16" s="162">
        <v>72971.58</v>
      </c>
      <c r="J16" s="162">
        <v>69244.56</v>
      </c>
      <c r="K16" s="162">
        <v>82512.929999999993</v>
      </c>
      <c r="L16" s="162">
        <v>81134.37</v>
      </c>
      <c r="M16" s="162">
        <v>80005.42</v>
      </c>
      <c r="R16" s="157" t="s">
        <v>237</v>
      </c>
      <c r="S16" s="150">
        <f t="shared" si="1"/>
        <v>221645.43</v>
      </c>
      <c r="T16" s="150">
        <f t="shared" si="0"/>
        <v>221233.63</v>
      </c>
      <c r="U16" s="150">
        <f t="shared" si="0"/>
        <v>222820.7</v>
      </c>
      <c r="V16" s="150">
        <f t="shared" si="0"/>
        <v>228682.77</v>
      </c>
      <c r="W16" s="150">
        <f t="shared" si="0"/>
        <v>225297.01</v>
      </c>
      <c r="X16" s="150">
        <f t="shared" si="0"/>
        <v>212092.9</v>
      </c>
      <c r="Y16" s="150">
        <f t="shared" si="0"/>
        <v>230782.37000000002</v>
      </c>
      <c r="Z16" s="150">
        <f t="shared" si="0"/>
        <v>223199.93000000002</v>
      </c>
      <c r="AA16" s="150">
        <f t="shared" si="0"/>
        <v>235732.02</v>
      </c>
      <c r="AB16" s="150">
        <f t="shared" si="0"/>
        <v>236011.92</v>
      </c>
      <c r="AC16" s="150">
        <f t="shared" si="0"/>
        <v>228144.30000000002</v>
      </c>
      <c r="AD16" s="150">
        <f t="shared" si="0"/>
        <v>243978.73</v>
      </c>
      <c r="AE16" s="158">
        <f t="shared" si="2"/>
        <v>227468.47583333333</v>
      </c>
      <c r="AG16" s="159">
        <f t="shared" si="3"/>
        <v>1.0208588153314899</v>
      </c>
      <c r="AH16" s="160"/>
    </row>
    <row r="17" spans="1:34" x14ac:dyDescent="0.3">
      <c r="A17" s="161" t="s">
        <v>220</v>
      </c>
      <c r="B17" s="162">
        <v>68207.58</v>
      </c>
      <c r="C17" s="162">
        <v>87331.8</v>
      </c>
      <c r="D17" s="162">
        <v>82064.91</v>
      </c>
      <c r="E17" s="162">
        <v>81421.210000000006</v>
      </c>
      <c r="F17" s="162">
        <v>86078.86</v>
      </c>
      <c r="G17" s="162">
        <v>78560.92</v>
      </c>
      <c r="H17" s="162">
        <v>82015.490000000005</v>
      </c>
      <c r="I17" s="162">
        <v>81446.460000000006</v>
      </c>
      <c r="J17" s="162">
        <v>84307.02</v>
      </c>
      <c r="K17" s="162">
        <v>83375.350000000006</v>
      </c>
      <c r="L17" s="162">
        <v>82059.759999999995</v>
      </c>
      <c r="M17" s="162">
        <v>86256.52</v>
      </c>
      <c r="R17" s="157" t="s">
        <v>238</v>
      </c>
      <c r="S17" s="150">
        <f t="shared" si="1"/>
        <v>226660.84</v>
      </c>
      <c r="T17" s="150">
        <f t="shared" si="0"/>
        <v>230355.02</v>
      </c>
      <c r="U17" s="150">
        <f t="shared" si="0"/>
        <v>231079.24</v>
      </c>
      <c r="V17" s="150">
        <f t="shared" si="0"/>
        <v>234213.99000000002</v>
      </c>
      <c r="W17" s="150">
        <f t="shared" si="0"/>
        <v>228029.75</v>
      </c>
      <c r="X17" s="150">
        <f t="shared" si="0"/>
        <v>234715.42</v>
      </c>
      <c r="Y17" s="150">
        <f t="shared" si="0"/>
        <v>242795.37</v>
      </c>
      <c r="Z17" s="150">
        <f t="shared" si="0"/>
        <v>235962.83</v>
      </c>
      <c r="AA17" s="150">
        <f t="shared" si="0"/>
        <v>260730.04</v>
      </c>
      <c r="AB17" s="150">
        <f t="shared" si="0"/>
        <v>276530.24</v>
      </c>
      <c r="AC17" s="150">
        <f t="shared" si="0"/>
        <v>261416.12</v>
      </c>
      <c r="AD17" s="150">
        <f t="shared" si="0"/>
        <v>278231.37</v>
      </c>
      <c r="AE17" s="158">
        <f t="shared" si="2"/>
        <v>245060.01916666669</v>
      </c>
      <c r="AG17" s="159">
        <f t="shared" si="3"/>
        <v>1.0605020994818344</v>
      </c>
      <c r="AH17" s="160"/>
    </row>
    <row r="18" spans="1:34" x14ac:dyDescent="0.3">
      <c r="A18" s="161" t="s">
        <v>221</v>
      </c>
      <c r="B18" s="162">
        <v>78942.53</v>
      </c>
      <c r="C18" s="162">
        <v>87360.49</v>
      </c>
      <c r="D18" s="162">
        <v>87995.26</v>
      </c>
      <c r="E18" s="162">
        <v>87396.13</v>
      </c>
      <c r="F18" s="162">
        <v>86457.57</v>
      </c>
      <c r="G18" s="162">
        <v>79359.39</v>
      </c>
      <c r="H18" s="162">
        <v>91499.82</v>
      </c>
      <c r="I18" s="162">
        <v>88575.3</v>
      </c>
      <c r="J18" s="162">
        <v>89839.13</v>
      </c>
      <c r="K18" s="162">
        <v>94534.67</v>
      </c>
      <c r="L18" s="162">
        <v>102361.82</v>
      </c>
      <c r="M18" s="162">
        <v>90855.21</v>
      </c>
      <c r="R18" s="53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5"/>
      <c r="AG18" s="166"/>
    </row>
    <row r="19" spans="1:34" x14ac:dyDescent="0.3">
      <c r="A19" s="161" t="s">
        <v>223</v>
      </c>
      <c r="B19" s="162">
        <v>82836.210000000006</v>
      </c>
      <c r="C19" s="162">
        <v>87292.96</v>
      </c>
      <c r="D19" s="162">
        <v>98365.39</v>
      </c>
      <c r="E19" s="162">
        <v>87874.47</v>
      </c>
      <c r="F19" s="162">
        <v>101186.84</v>
      </c>
      <c r="G19" s="162">
        <v>91194.53</v>
      </c>
      <c r="H19" s="162">
        <v>94423.96</v>
      </c>
      <c r="I19" s="162">
        <v>94937.89</v>
      </c>
      <c r="J19" s="162">
        <v>96754.65</v>
      </c>
      <c r="K19" s="162">
        <v>93222.51</v>
      </c>
      <c r="L19" s="162">
        <v>96155.9</v>
      </c>
      <c r="M19" s="162">
        <v>104932.4</v>
      </c>
    </row>
    <row r="20" spans="1:34" x14ac:dyDescent="0.3">
      <c r="A20" s="161" t="s">
        <v>225</v>
      </c>
      <c r="B20" s="162">
        <v>86706.61</v>
      </c>
      <c r="C20" s="162">
        <v>105549.01</v>
      </c>
      <c r="D20" s="162">
        <v>89907.01</v>
      </c>
      <c r="E20" s="162">
        <v>94117.46</v>
      </c>
      <c r="F20" s="162">
        <v>104613.18</v>
      </c>
      <c r="G20" s="162">
        <v>97984.85</v>
      </c>
      <c r="H20" s="162">
        <v>97577.77</v>
      </c>
      <c r="I20" s="162">
        <v>96402.880000000005</v>
      </c>
      <c r="J20" s="162">
        <v>107927.9</v>
      </c>
      <c r="K20" s="162">
        <v>94261.21</v>
      </c>
      <c r="L20" s="162">
        <v>91526.91</v>
      </c>
      <c r="M20" s="162">
        <v>96270.1</v>
      </c>
      <c r="Q20" s="53"/>
      <c r="R20" s="53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</row>
    <row r="21" spans="1:34" ht="15" customHeight="1" x14ac:dyDescent="0.3">
      <c r="A21" s="161" t="s">
        <v>227</v>
      </c>
      <c r="B21" s="162">
        <v>89542.04</v>
      </c>
      <c r="C21" s="162">
        <v>108998.62</v>
      </c>
      <c r="D21" s="162">
        <v>90536.26</v>
      </c>
      <c r="E21" s="162">
        <v>90267.31</v>
      </c>
      <c r="F21" s="162">
        <v>166182.94</v>
      </c>
      <c r="G21" s="162">
        <v>88578.76</v>
      </c>
      <c r="H21" s="162">
        <v>103067.7</v>
      </c>
      <c r="I21" s="162">
        <v>96368.61</v>
      </c>
      <c r="J21" s="162">
        <v>105470.75</v>
      </c>
      <c r="K21" s="162">
        <v>108823.96</v>
      </c>
      <c r="L21" s="162">
        <v>101628.29</v>
      </c>
      <c r="M21" s="162">
        <v>105546.71</v>
      </c>
      <c r="Q21" s="168"/>
      <c r="R21" s="168"/>
      <c r="S21" s="168"/>
      <c r="T21" s="53"/>
      <c r="V21" s="53"/>
      <c r="W21" s="53"/>
      <c r="X21" s="53"/>
      <c r="Y21" s="53"/>
      <c r="Z21" s="53"/>
      <c r="AA21" s="53"/>
      <c r="AB21" s="53"/>
      <c r="AC21" s="169"/>
    </row>
    <row r="22" spans="1:34" x14ac:dyDescent="0.3">
      <c r="A22" s="161" t="s">
        <v>229</v>
      </c>
      <c r="B22" s="162">
        <v>100656.79</v>
      </c>
      <c r="C22" s="162">
        <v>109937.97</v>
      </c>
      <c r="D22" s="162">
        <v>116195.6</v>
      </c>
      <c r="E22" s="162">
        <v>109944.55</v>
      </c>
      <c r="F22" s="162">
        <v>111370.46</v>
      </c>
      <c r="G22" s="162">
        <v>112950.3</v>
      </c>
      <c r="H22" s="162">
        <v>113159.72</v>
      </c>
      <c r="I22" s="162">
        <v>118044.96</v>
      </c>
      <c r="J22" s="162">
        <v>121456.12</v>
      </c>
      <c r="K22" s="162">
        <v>118692.41</v>
      </c>
      <c r="L22" s="162">
        <v>115320.4</v>
      </c>
      <c r="M22" s="162">
        <v>118026.96</v>
      </c>
    </row>
    <row r="23" spans="1:34" x14ac:dyDescent="0.3">
      <c r="A23" s="161" t="s">
        <v>231</v>
      </c>
      <c r="B23" s="162">
        <v>114907.38</v>
      </c>
      <c r="C23" s="162">
        <v>119155.04</v>
      </c>
      <c r="D23" s="162">
        <v>128167.78</v>
      </c>
      <c r="E23" s="162">
        <v>121619.26</v>
      </c>
      <c r="F23" s="162">
        <v>125199.67</v>
      </c>
      <c r="G23" s="162">
        <v>123650.52</v>
      </c>
      <c r="H23" s="162">
        <v>124831.17</v>
      </c>
      <c r="I23" s="162">
        <v>131684.87</v>
      </c>
      <c r="J23" s="162">
        <v>133857.4</v>
      </c>
      <c r="K23" s="162">
        <v>128835.44</v>
      </c>
      <c r="L23" s="162">
        <v>129989.08</v>
      </c>
      <c r="M23" s="162">
        <v>127914.47</v>
      </c>
    </row>
    <row r="24" spans="1:34" x14ac:dyDescent="0.3">
      <c r="A24" s="161" t="s">
        <v>233</v>
      </c>
      <c r="B24" s="162">
        <v>129309.79</v>
      </c>
      <c r="C24" s="162">
        <v>138337.68</v>
      </c>
      <c r="D24" s="162">
        <v>137624.41</v>
      </c>
      <c r="E24" s="162">
        <v>127888.73</v>
      </c>
      <c r="F24" s="162">
        <v>129531.09</v>
      </c>
      <c r="G24" s="162">
        <v>134802.15</v>
      </c>
      <c r="H24" s="162">
        <v>131493.72</v>
      </c>
      <c r="I24" s="162">
        <v>130787.2</v>
      </c>
      <c r="J24" s="162">
        <v>137259.16</v>
      </c>
      <c r="K24" s="162">
        <v>133408.71</v>
      </c>
      <c r="L24" s="162">
        <v>138592.34</v>
      </c>
      <c r="M24" s="162">
        <v>130434.68</v>
      </c>
    </row>
    <row r="25" spans="1:34" x14ac:dyDescent="0.3">
      <c r="A25" s="161" t="s">
        <v>235</v>
      </c>
      <c r="B25" s="162">
        <v>130624.73</v>
      </c>
      <c r="C25" s="162">
        <v>127385.47</v>
      </c>
      <c r="D25" s="162">
        <v>119030.87</v>
      </c>
      <c r="E25" s="162">
        <v>139016.92000000001</v>
      </c>
      <c r="F25" s="162">
        <v>129942.67</v>
      </c>
      <c r="G25" s="162">
        <v>132207.76</v>
      </c>
      <c r="H25" s="162">
        <v>132496.85</v>
      </c>
      <c r="I25" s="162">
        <v>119863.56</v>
      </c>
      <c r="J25" s="162">
        <v>133638.95000000001</v>
      </c>
      <c r="K25" s="162">
        <v>140005.32</v>
      </c>
      <c r="L25" s="162">
        <v>137902.10999999999</v>
      </c>
      <c r="M25" s="162">
        <v>132162.39000000001</v>
      </c>
    </row>
    <row r="26" spans="1:34" x14ac:dyDescent="0.3">
      <c r="A26" s="161" t="s">
        <v>237</v>
      </c>
      <c r="B26" s="162">
        <v>130334.12</v>
      </c>
      <c r="C26" s="162">
        <v>132983.39000000001</v>
      </c>
      <c r="D26" s="162">
        <v>132486.35</v>
      </c>
      <c r="E26" s="162">
        <v>132806.39999999999</v>
      </c>
      <c r="F26" s="162">
        <v>133707.92000000001</v>
      </c>
      <c r="G26" s="162">
        <v>124401.74</v>
      </c>
      <c r="H26" s="162">
        <v>137364.34</v>
      </c>
      <c r="I26" s="162">
        <v>130251.57</v>
      </c>
      <c r="J26" s="162">
        <v>140326.19</v>
      </c>
      <c r="K26" s="162">
        <v>139363.16</v>
      </c>
      <c r="L26" s="162">
        <v>133953.23000000001</v>
      </c>
      <c r="M26" s="162">
        <v>135889.22</v>
      </c>
    </row>
    <row r="27" spans="1:34" x14ac:dyDescent="0.3">
      <c r="A27" s="161" t="s">
        <v>238</v>
      </c>
      <c r="B27" s="162">
        <v>128871.55</v>
      </c>
      <c r="C27" s="162">
        <v>135420.20000000001</v>
      </c>
      <c r="D27" s="162">
        <v>131055.11</v>
      </c>
      <c r="E27" s="162">
        <v>133246.41</v>
      </c>
      <c r="F27" s="162">
        <v>129685.85</v>
      </c>
      <c r="G27" s="162">
        <v>132393.79</v>
      </c>
      <c r="H27" s="162">
        <v>138069.79999999999</v>
      </c>
      <c r="I27" s="162">
        <v>132146</v>
      </c>
      <c r="J27" s="162">
        <v>148980.5</v>
      </c>
      <c r="K27" s="162">
        <v>157347.44</v>
      </c>
      <c r="L27" s="162">
        <v>149892.03</v>
      </c>
      <c r="M27" s="162">
        <v>151148.66</v>
      </c>
    </row>
    <row r="28" spans="1:34" x14ac:dyDescent="0.3">
      <c r="A28" s="161" t="s">
        <v>239</v>
      </c>
      <c r="B28" s="162">
        <v>135645.69</v>
      </c>
      <c r="C28" s="162">
        <v>152554.73000000001</v>
      </c>
      <c r="D28" s="162">
        <v>150464.37</v>
      </c>
      <c r="E28" s="162">
        <v>138375.43</v>
      </c>
      <c r="F28" s="162">
        <v>125431.88</v>
      </c>
      <c r="G28" s="162">
        <v>126925.62</v>
      </c>
      <c r="H28" s="162">
        <v>120553.03</v>
      </c>
      <c r="I28" s="162">
        <v>139372.93</v>
      </c>
      <c r="J28" s="162">
        <v>139475.24</v>
      </c>
      <c r="K28" s="162">
        <v>132118.66</v>
      </c>
      <c r="L28" s="162">
        <v>134121.01999999999</v>
      </c>
      <c r="M28" s="162">
        <v>135192.15</v>
      </c>
    </row>
    <row r="29" spans="1:34" x14ac:dyDescent="0.3">
      <c r="A29" s="161" t="s">
        <v>240</v>
      </c>
      <c r="B29" s="162">
        <v>0</v>
      </c>
      <c r="C29" s="162">
        <v>0</v>
      </c>
      <c r="D29" s="162">
        <v>0</v>
      </c>
      <c r="E29" s="162">
        <v>0</v>
      </c>
      <c r="F29" s="162">
        <v>0</v>
      </c>
      <c r="G29" s="162">
        <v>0</v>
      </c>
      <c r="H29" s="162">
        <v>0</v>
      </c>
      <c r="I29" s="162">
        <v>0</v>
      </c>
      <c r="J29" s="162">
        <v>0</v>
      </c>
      <c r="K29" s="162">
        <v>0</v>
      </c>
      <c r="L29" s="162">
        <v>0</v>
      </c>
      <c r="M29" s="162">
        <v>0</v>
      </c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70"/>
      <c r="AA29" s="170"/>
      <c r="AB29" s="170"/>
      <c r="AC29" s="170"/>
      <c r="AD29" s="170"/>
    </row>
    <row r="30" spans="1:34" x14ac:dyDescent="0.3"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70"/>
      <c r="AA30" s="170"/>
      <c r="AB30" s="170"/>
      <c r="AC30" s="170"/>
      <c r="AD30" s="170"/>
    </row>
    <row r="31" spans="1:34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70"/>
      <c r="AA31" s="170"/>
      <c r="AB31" s="170"/>
      <c r="AC31" s="170"/>
      <c r="AD31" s="170"/>
    </row>
    <row r="32" spans="1:34" ht="15" customHeight="1" x14ac:dyDescent="0.3">
      <c r="A32" s="202"/>
      <c r="B32" s="196" t="s">
        <v>241</v>
      </c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70"/>
      <c r="AA32" s="170"/>
      <c r="AB32" s="170"/>
      <c r="AC32" s="170"/>
      <c r="AD32" s="170"/>
    </row>
    <row r="33" spans="1:30" x14ac:dyDescent="0.3">
      <c r="A33" s="202"/>
      <c r="B33" s="102" t="s">
        <v>91</v>
      </c>
      <c r="C33" s="102" t="s">
        <v>92</v>
      </c>
      <c r="D33" s="102" t="s">
        <v>93</v>
      </c>
      <c r="E33" s="102" t="s">
        <v>94</v>
      </c>
      <c r="F33" s="102" t="s">
        <v>95</v>
      </c>
      <c r="G33" s="102" t="s">
        <v>96</v>
      </c>
      <c r="H33" s="102" t="s">
        <v>97</v>
      </c>
      <c r="I33" s="102" t="s">
        <v>98</v>
      </c>
      <c r="J33" s="102" t="s">
        <v>99</v>
      </c>
      <c r="K33" s="102" t="s">
        <v>100</v>
      </c>
      <c r="L33" s="102" t="s">
        <v>101</v>
      </c>
      <c r="M33" s="102" t="s">
        <v>102</v>
      </c>
      <c r="P33" s="170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170"/>
      <c r="AB33" s="170"/>
      <c r="AC33" s="170"/>
      <c r="AD33" s="170"/>
    </row>
    <row r="34" spans="1:30" x14ac:dyDescent="0.3">
      <c r="A34" s="202"/>
      <c r="B34" s="153" t="s">
        <v>219</v>
      </c>
      <c r="C34" s="153" t="s">
        <v>219</v>
      </c>
      <c r="D34" s="153" t="s">
        <v>219</v>
      </c>
      <c r="E34" s="153" t="s">
        <v>219</v>
      </c>
      <c r="F34" s="153" t="s">
        <v>219</v>
      </c>
      <c r="G34" s="153" t="s">
        <v>219</v>
      </c>
      <c r="H34" s="153" t="s">
        <v>219</v>
      </c>
      <c r="I34" s="153" t="s">
        <v>219</v>
      </c>
      <c r="J34" s="153" t="s">
        <v>219</v>
      </c>
      <c r="K34" s="153" t="s">
        <v>219</v>
      </c>
      <c r="L34" s="153" t="s">
        <v>219</v>
      </c>
      <c r="M34" s="153" t="s">
        <v>219</v>
      </c>
      <c r="P34" s="170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170"/>
      <c r="AB34" s="170"/>
      <c r="AC34" s="170"/>
      <c r="AD34" s="170"/>
    </row>
    <row r="35" spans="1:30" x14ac:dyDescent="0.3">
      <c r="A35" s="161" t="s">
        <v>242</v>
      </c>
      <c r="B35" s="162">
        <v>110145</v>
      </c>
      <c r="C35" s="162">
        <v>125101</v>
      </c>
      <c r="D35" s="162">
        <v>108725</v>
      </c>
      <c r="E35" s="162">
        <v>117047</v>
      </c>
      <c r="F35" s="162">
        <v>118212</v>
      </c>
      <c r="G35" s="162">
        <v>118559</v>
      </c>
      <c r="H35" s="162">
        <v>115540</v>
      </c>
      <c r="I35" s="162">
        <v>118540</v>
      </c>
      <c r="J35" s="162">
        <v>115289</v>
      </c>
      <c r="K35" s="162">
        <v>117937</v>
      </c>
      <c r="L35" s="162">
        <v>120496</v>
      </c>
      <c r="M35" s="162">
        <v>122988</v>
      </c>
      <c r="P35" s="170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170"/>
      <c r="AB35" s="170"/>
      <c r="AC35" s="170"/>
      <c r="AD35" s="170"/>
    </row>
    <row r="36" spans="1:30" x14ac:dyDescent="0.3">
      <c r="A36" s="161" t="s">
        <v>222</v>
      </c>
      <c r="B36" s="162">
        <v>116630</v>
      </c>
      <c r="C36" s="162">
        <v>113327</v>
      </c>
      <c r="D36" s="162">
        <v>112480</v>
      </c>
      <c r="E36" s="162">
        <v>122913</v>
      </c>
      <c r="F36" s="162">
        <v>121543</v>
      </c>
      <c r="G36" s="162">
        <v>113685</v>
      </c>
      <c r="H36" s="162">
        <v>124341</v>
      </c>
      <c r="I36" s="162">
        <v>118982</v>
      </c>
      <c r="J36" s="162">
        <v>122729</v>
      </c>
      <c r="K36" s="162">
        <v>121540</v>
      </c>
      <c r="L36" s="162">
        <v>121924</v>
      </c>
      <c r="M36" s="162">
        <v>130683</v>
      </c>
      <c r="P36" s="170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170"/>
      <c r="AB36" s="170"/>
      <c r="AC36" s="170"/>
      <c r="AD36" s="170"/>
    </row>
    <row r="37" spans="1:30" x14ac:dyDescent="0.3">
      <c r="A37" s="161" t="s">
        <v>224</v>
      </c>
      <c r="B37" s="162">
        <v>117873</v>
      </c>
      <c r="C37" s="162">
        <v>116115</v>
      </c>
      <c r="D37" s="162">
        <v>115991</v>
      </c>
      <c r="E37" s="162">
        <v>121940</v>
      </c>
      <c r="F37" s="162">
        <v>114716</v>
      </c>
      <c r="G37" s="162">
        <v>114363</v>
      </c>
      <c r="H37" s="162">
        <v>118527</v>
      </c>
      <c r="I37" s="162">
        <v>113702</v>
      </c>
      <c r="J37" s="162">
        <v>117060</v>
      </c>
      <c r="K37" s="162">
        <v>117553</v>
      </c>
      <c r="L37" s="162">
        <v>109537</v>
      </c>
      <c r="M37" s="162">
        <v>126512</v>
      </c>
      <c r="P37" s="170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170"/>
      <c r="AB37" s="170"/>
      <c r="AC37" s="170"/>
      <c r="AD37" s="170"/>
    </row>
    <row r="38" spans="1:30" x14ac:dyDescent="0.3">
      <c r="A38" s="161" t="s">
        <v>226</v>
      </c>
      <c r="B38" s="162">
        <v>99354</v>
      </c>
      <c r="C38" s="162">
        <v>114118</v>
      </c>
      <c r="D38" s="162">
        <v>114476</v>
      </c>
      <c r="E38" s="162">
        <v>106308</v>
      </c>
      <c r="F38" s="162">
        <v>108579</v>
      </c>
      <c r="G38" s="162">
        <v>89157</v>
      </c>
      <c r="H38" s="162">
        <v>101720</v>
      </c>
      <c r="I38" s="162">
        <v>108887</v>
      </c>
      <c r="J38" s="162">
        <v>106909</v>
      </c>
      <c r="K38" s="162">
        <v>101049</v>
      </c>
      <c r="L38" s="162">
        <v>109537</v>
      </c>
      <c r="M38" s="162">
        <v>106275</v>
      </c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  <c r="AD38" s="170"/>
    </row>
    <row r="39" spans="1:30" x14ac:dyDescent="0.3">
      <c r="A39" s="161" t="s">
        <v>228</v>
      </c>
      <c r="B39" s="162">
        <v>104267</v>
      </c>
      <c r="C39" s="162">
        <v>104404</v>
      </c>
      <c r="D39" s="162">
        <v>103606</v>
      </c>
      <c r="E39" s="162">
        <v>93522</v>
      </c>
      <c r="F39" s="162">
        <v>91901</v>
      </c>
      <c r="G39" s="162">
        <v>99773</v>
      </c>
      <c r="H39" s="162">
        <v>87077</v>
      </c>
      <c r="I39" s="162">
        <v>101564</v>
      </c>
      <c r="J39" s="162">
        <v>94695</v>
      </c>
      <c r="K39" s="162">
        <v>93657</v>
      </c>
      <c r="L39" s="162">
        <v>90221</v>
      </c>
      <c r="M39" s="162">
        <v>102756</v>
      </c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170"/>
      <c r="AB39" s="170"/>
      <c r="AC39" s="170"/>
      <c r="AD39" s="170"/>
    </row>
    <row r="40" spans="1:30" x14ac:dyDescent="0.3">
      <c r="A40" s="161" t="s">
        <v>230</v>
      </c>
      <c r="B40" s="162">
        <v>89005</v>
      </c>
      <c r="C40" s="162">
        <v>95525</v>
      </c>
      <c r="D40" s="162">
        <v>86540</v>
      </c>
      <c r="E40" s="162">
        <v>87515</v>
      </c>
      <c r="F40" s="162">
        <v>86970</v>
      </c>
      <c r="G40" s="162">
        <v>87712</v>
      </c>
      <c r="H40" s="162">
        <v>84438</v>
      </c>
      <c r="I40" s="162">
        <v>87229</v>
      </c>
      <c r="J40" s="162">
        <v>83351</v>
      </c>
      <c r="K40" s="162">
        <v>84885</v>
      </c>
      <c r="L40" s="162">
        <v>86817</v>
      </c>
      <c r="M40" s="162">
        <v>87010</v>
      </c>
      <c r="P40" s="170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170"/>
      <c r="AB40" s="170"/>
      <c r="AC40" s="170"/>
      <c r="AD40" s="170"/>
    </row>
    <row r="41" spans="1:30" x14ac:dyDescent="0.3">
      <c r="A41" s="161" t="s">
        <v>232</v>
      </c>
      <c r="B41" s="162">
        <v>84997.39</v>
      </c>
      <c r="C41" s="162">
        <v>84279.33</v>
      </c>
      <c r="D41" s="162">
        <v>81924.490000000005</v>
      </c>
      <c r="E41" s="162">
        <v>80586.55</v>
      </c>
      <c r="F41" s="162">
        <v>80525.19</v>
      </c>
      <c r="G41" s="162">
        <v>80158.850000000006</v>
      </c>
      <c r="H41" s="162">
        <v>81929.66</v>
      </c>
      <c r="I41" s="162">
        <v>84696.22</v>
      </c>
      <c r="J41" s="162">
        <v>82881.990000000005</v>
      </c>
      <c r="K41" s="162">
        <v>84894.17</v>
      </c>
      <c r="L41" s="162">
        <v>85920.72</v>
      </c>
      <c r="M41" s="162">
        <v>90535.48</v>
      </c>
      <c r="P41" s="170"/>
      <c r="Q41" s="170"/>
      <c r="R41" s="170"/>
      <c r="S41" s="170"/>
      <c r="T41" s="170"/>
      <c r="U41" s="170"/>
      <c r="V41" s="170"/>
      <c r="W41" s="170"/>
      <c r="X41" s="170"/>
      <c r="Y41" s="170"/>
      <c r="Z41" s="170"/>
      <c r="AA41" s="170"/>
      <c r="AB41" s="170"/>
      <c r="AC41" s="170"/>
      <c r="AD41" s="170"/>
    </row>
    <row r="42" spans="1:30" x14ac:dyDescent="0.3">
      <c r="A42" s="161" t="s">
        <v>234</v>
      </c>
      <c r="B42" s="162">
        <v>86826.54</v>
      </c>
      <c r="C42" s="162">
        <v>87209.96</v>
      </c>
      <c r="D42" s="162">
        <v>82024.800000000003</v>
      </c>
      <c r="E42" s="162">
        <v>77242.2</v>
      </c>
      <c r="F42" s="162">
        <v>80631.490000000005</v>
      </c>
      <c r="G42" s="162">
        <v>81158.460000000006</v>
      </c>
      <c r="H42" s="162">
        <v>78132.88</v>
      </c>
      <c r="I42" s="162">
        <v>79703.44</v>
      </c>
      <c r="J42" s="162">
        <v>78748.59</v>
      </c>
      <c r="K42" s="162">
        <v>80345.179999999993</v>
      </c>
      <c r="L42" s="162">
        <v>80914.8</v>
      </c>
      <c r="M42" s="162">
        <v>91051.93</v>
      </c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</row>
    <row r="43" spans="1:30" x14ac:dyDescent="0.3">
      <c r="A43" s="161" t="s">
        <v>236</v>
      </c>
      <c r="B43" s="162">
        <v>77783.09</v>
      </c>
      <c r="C43" s="162">
        <v>81333.17</v>
      </c>
      <c r="D43" s="162">
        <v>81859.789999999994</v>
      </c>
      <c r="E43" s="162">
        <v>77040.56</v>
      </c>
      <c r="F43" s="162">
        <v>76925.08</v>
      </c>
      <c r="G43" s="162">
        <v>79391.960000000006</v>
      </c>
      <c r="H43" s="162">
        <v>78221.55</v>
      </c>
      <c r="I43" s="162">
        <v>76582.45</v>
      </c>
      <c r="J43" s="162">
        <v>79060.25</v>
      </c>
      <c r="K43" s="162">
        <v>76877.62</v>
      </c>
      <c r="L43" s="162">
        <v>74603.789999999994</v>
      </c>
      <c r="M43" s="162">
        <v>81705.45</v>
      </c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</row>
    <row r="44" spans="1:30" x14ac:dyDescent="0.3">
      <c r="A44" s="161" t="s">
        <v>220</v>
      </c>
      <c r="B44" s="162">
        <v>86677.53</v>
      </c>
      <c r="C44" s="162">
        <v>84360.960000000006</v>
      </c>
      <c r="D44" s="162">
        <v>77777.63</v>
      </c>
      <c r="E44" s="162">
        <v>75724.320000000007</v>
      </c>
      <c r="F44" s="162">
        <v>77718.490000000005</v>
      </c>
      <c r="G44" s="162">
        <v>70696.570000000007</v>
      </c>
      <c r="H44" s="162">
        <v>77627.240000000005</v>
      </c>
      <c r="I44" s="162">
        <v>70861.47</v>
      </c>
      <c r="J44" s="162">
        <v>75770.61</v>
      </c>
      <c r="K44" s="162">
        <v>77198.87</v>
      </c>
      <c r="L44" s="162">
        <v>71666.87</v>
      </c>
      <c r="M44" s="162">
        <v>77541.009999999995</v>
      </c>
      <c r="P44" s="170"/>
      <c r="Q44" s="170"/>
      <c r="R44" s="170"/>
      <c r="S44" s="170"/>
      <c r="T44" s="170"/>
      <c r="U44" s="170"/>
      <c r="V44" s="170"/>
      <c r="W44" s="170"/>
      <c r="X44" s="170"/>
      <c r="Y44" s="170"/>
      <c r="Z44" s="170"/>
      <c r="AA44" s="170"/>
      <c r="AB44" s="170"/>
      <c r="AC44" s="170"/>
      <c r="AD44" s="170"/>
    </row>
    <row r="45" spans="1:30" x14ac:dyDescent="0.3">
      <c r="A45" s="161" t="s">
        <v>221</v>
      </c>
      <c r="B45" s="162">
        <v>72467.740000000005</v>
      </c>
      <c r="C45" s="162">
        <v>71537.179999999993</v>
      </c>
      <c r="D45" s="162">
        <v>72380.47</v>
      </c>
      <c r="E45" s="162">
        <v>71793.31</v>
      </c>
      <c r="F45" s="162">
        <v>70261.850000000006</v>
      </c>
      <c r="G45" s="162">
        <v>69706.100000000006</v>
      </c>
      <c r="H45" s="162">
        <v>71575.92</v>
      </c>
      <c r="I45" s="162">
        <v>75371.570000000007</v>
      </c>
      <c r="J45" s="162">
        <v>73224.320000000007</v>
      </c>
      <c r="K45" s="162">
        <v>75475.899999999994</v>
      </c>
      <c r="L45" s="162">
        <v>65648.98</v>
      </c>
      <c r="M45" s="162">
        <v>74498.22</v>
      </c>
      <c r="P45" s="170"/>
      <c r="Q45" s="170"/>
      <c r="R45" s="170"/>
      <c r="S45" s="170"/>
      <c r="T45" s="170"/>
      <c r="U45" s="170"/>
      <c r="V45" s="170"/>
      <c r="W45" s="170"/>
      <c r="X45" s="170"/>
      <c r="Y45" s="170"/>
      <c r="Z45" s="170"/>
      <c r="AA45" s="170"/>
      <c r="AB45" s="170"/>
      <c r="AC45" s="170"/>
      <c r="AD45" s="170"/>
    </row>
    <row r="46" spans="1:30" x14ac:dyDescent="0.3">
      <c r="A46" s="161" t="s">
        <v>223</v>
      </c>
      <c r="B46" s="162">
        <v>68731.16</v>
      </c>
      <c r="C46" s="162">
        <v>69300.38</v>
      </c>
      <c r="D46" s="162">
        <v>74446.25</v>
      </c>
      <c r="E46" s="162">
        <v>69059.17</v>
      </c>
      <c r="F46" s="162">
        <v>67666.240000000005</v>
      </c>
      <c r="G46" s="162">
        <v>73222.66</v>
      </c>
      <c r="H46" s="162">
        <v>65645.38</v>
      </c>
      <c r="I46" s="162">
        <v>66884.28</v>
      </c>
      <c r="J46" s="162">
        <v>72369.440000000002</v>
      </c>
      <c r="K46" s="162">
        <v>64192.77</v>
      </c>
      <c r="L46" s="162">
        <v>72740.009999999995</v>
      </c>
      <c r="M46" s="162">
        <v>75047.08</v>
      </c>
      <c r="P46" s="170"/>
      <c r="Q46" s="170"/>
      <c r="R46" s="170"/>
      <c r="S46" s="170"/>
      <c r="T46" s="170"/>
      <c r="U46" s="170"/>
      <c r="V46" s="170"/>
      <c r="W46" s="170"/>
      <c r="X46" s="170"/>
      <c r="Y46" s="170"/>
      <c r="Z46" s="170"/>
      <c r="AA46" s="170"/>
      <c r="AB46" s="170"/>
      <c r="AC46" s="170"/>
      <c r="AD46" s="170"/>
    </row>
    <row r="47" spans="1:30" x14ac:dyDescent="0.3">
      <c r="A47" s="161" t="s">
        <v>225</v>
      </c>
      <c r="B47" s="162">
        <v>69892.38</v>
      </c>
      <c r="C47" s="162">
        <v>69083.37</v>
      </c>
      <c r="D47" s="162">
        <v>68723.990000000005</v>
      </c>
      <c r="E47" s="162">
        <v>68671.95</v>
      </c>
      <c r="F47" s="162">
        <v>72648.91</v>
      </c>
      <c r="G47" s="162">
        <v>63217</v>
      </c>
      <c r="H47" s="162">
        <v>66457.72</v>
      </c>
      <c r="I47" s="162">
        <v>66311.45</v>
      </c>
      <c r="J47" s="162">
        <v>63885.23</v>
      </c>
      <c r="K47" s="162">
        <v>71949.78</v>
      </c>
      <c r="L47" s="162">
        <v>62158.68</v>
      </c>
      <c r="M47" s="162">
        <v>70286.87</v>
      </c>
      <c r="P47" s="170"/>
      <c r="Q47" s="170"/>
      <c r="R47" s="170"/>
      <c r="S47" s="170"/>
      <c r="T47" s="170"/>
      <c r="U47" s="170"/>
      <c r="V47" s="170"/>
      <c r="W47" s="170"/>
      <c r="X47" s="170"/>
      <c r="Y47" s="170"/>
      <c r="Z47" s="170"/>
      <c r="AA47" s="170"/>
      <c r="AB47" s="170"/>
      <c r="AC47" s="170"/>
      <c r="AD47" s="170"/>
    </row>
    <row r="48" spans="1:30" x14ac:dyDescent="0.3">
      <c r="A48" s="161" t="s">
        <v>227</v>
      </c>
      <c r="B48" s="162">
        <v>70213.64</v>
      </c>
      <c r="C48" s="162">
        <v>63658.76</v>
      </c>
      <c r="D48" s="162">
        <v>65172.13</v>
      </c>
      <c r="E48" s="162">
        <v>62632</v>
      </c>
      <c r="F48" s="162">
        <v>66474.27</v>
      </c>
      <c r="G48" s="162">
        <v>66190.5</v>
      </c>
      <c r="H48" s="162">
        <v>65768.289999999994</v>
      </c>
      <c r="I48" s="162">
        <v>66427.460000000006</v>
      </c>
      <c r="J48" s="162">
        <v>66111.16</v>
      </c>
      <c r="K48" s="162">
        <v>66731.83</v>
      </c>
      <c r="L48" s="162">
        <v>66416.100000000006</v>
      </c>
      <c r="M48" s="162">
        <v>71279.42</v>
      </c>
      <c r="P48" s="170"/>
      <c r="Q48" s="170"/>
      <c r="R48" s="170"/>
      <c r="S48" s="170"/>
      <c r="T48" s="170"/>
      <c r="U48" s="170"/>
      <c r="V48" s="170"/>
      <c r="W48" s="170"/>
      <c r="X48" s="170"/>
      <c r="Y48" s="170"/>
      <c r="Z48" s="170"/>
      <c r="AA48" s="170"/>
      <c r="AB48" s="170"/>
      <c r="AC48" s="170"/>
      <c r="AD48" s="170"/>
    </row>
    <row r="49" spans="1:30" x14ac:dyDescent="0.3">
      <c r="A49" s="161" t="s">
        <v>229</v>
      </c>
      <c r="B49" s="162">
        <v>74256.490000000005</v>
      </c>
      <c r="C49" s="162">
        <v>68585.53</v>
      </c>
      <c r="D49" s="162">
        <v>78135</v>
      </c>
      <c r="E49" s="162">
        <v>71536.009999999995</v>
      </c>
      <c r="F49" s="162">
        <v>71686.89</v>
      </c>
      <c r="G49" s="162">
        <v>74252.800000000003</v>
      </c>
      <c r="H49" s="162">
        <v>73933.19</v>
      </c>
      <c r="I49" s="162">
        <v>75026.39</v>
      </c>
      <c r="J49" s="162">
        <v>75329.41</v>
      </c>
      <c r="K49" s="162">
        <v>74779.41</v>
      </c>
      <c r="L49" s="162">
        <v>75901.149999999994</v>
      </c>
      <c r="M49" s="162">
        <v>83685.600000000006</v>
      </c>
      <c r="P49" s="170"/>
      <c r="Q49" s="170"/>
      <c r="R49" s="170"/>
      <c r="S49" s="170"/>
      <c r="T49" s="170"/>
      <c r="U49" s="170"/>
      <c r="V49" s="170"/>
      <c r="W49" s="170"/>
      <c r="X49" s="170"/>
      <c r="Y49" s="170"/>
      <c r="Z49" s="170"/>
      <c r="AA49" s="170"/>
      <c r="AB49" s="170"/>
      <c r="AC49" s="170"/>
      <c r="AD49" s="170"/>
    </row>
    <row r="50" spans="1:30" x14ac:dyDescent="0.3">
      <c r="A50" s="161" t="s">
        <v>231</v>
      </c>
      <c r="B50" s="162">
        <v>75188.72</v>
      </c>
      <c r="C50" s="162">
        <v>73170.92</v>
      </c>
      <c r="D50" s="162">
        <v>75759.75</v>
      </c>
      <c r="E50" s="162">
        <v>74774.31</v>
      </c>
      <c r="F50" s="162">
        <v>76097.23</v>
      </c>
      <c r="G50" s="162">
        <v>76827.23</v>
      </c>
      <c r="H50" s="162">
        <v>76272.88</v>
      </c>
      <c r="I50" s="162">
        <v>78351.520000000004</v>
      </c>
      <c r="J50" s="162">
        <v>79053.61</v>
      </c>
      <c r="K50" s="162">
        <v>78890.02</v>
      </c>
      <c r="L50" s="162">
        <v>79380.72</v>
      </c>
      <c r="M50" s="162">
        <v>87083.27</v>
      </c>
      <c r="P50" s="170"/>
      <c r="Q50" s="170"/>
      <c r="R50" s="170"/>
      <c r="S50" s="170"/>
      <c r="T50" s="170"/>
      <c r="U50" s="170"/>
      <c r="V50" s="170"/>
      <c r="W50" s="170"/>
      <c r="X50" s="170"/>
      <c r="Y50" s="170"/>
      <c r="Z50" s="170"/>
      <c r="AA50" s="170"/>
      <c r="AB50" s="170"/>
      <c r="AC50" s="170"/>
      <c r="AD50" s="170"/>
    </row>
    <row r="51" spans="1:30" x14ac:dyDescent="0.3">
      <c r="A51" s="161" t="s">
        <v>233</v>
      </c>
      <c r="B51" s="162">
        <v>80208</v>
      </c>
      <c r="C51" s="162">
        <v>80009.320000000007</v>
      </c>
      <c r="D51" s="162">
        <v>79112.479999999996</v>
      </c>
      <c r="E51" s="162">
        <v>76842.39</v>
      </c>
      <c r="F51" s="162">
        <v>75491.48</v>
      </c>
      <c r="G51" s="162">
        <v>81709.36</v>
      </c>
      <c r="H51" s="162">
        <v>81515.42</v>
      </c>
      <c r="I51" s="162">
        <v>82349.039999999994</v>
      </c>
      <c r="J51" s="162">
        <v>78271.89</v>
      </c>
      <c r="K51" s="162">
        <v>80784.66</v>
      </c>
      <c r="L51" s="162">
        <v>82813.39</v>
      </c>
      <c r="M51" s="162">
        <v>86202.54</v>
      </c>
      <c r="P51" s="170"/>
      <c r="Q51" s="170"/>
      <c r="R51" s="170"/>
      <c r="S51" s="170"/>
      <c r="T51" s="170"/>
      <c r="U51" s="170"/>
      <c r="V51" s="170"/>
      <c r="W51" s="170"/>
      <c r="X51" s="170"/>
      <c r="Y51" s="170"/>
      <c r="Z51" s="170"/>
      <c r="AA51" s="170"/>
      <c r="AB51" s="170"/>
      <c r="AC51" s="170"/>
      <c r="AD51" s="170"/>
    </row>
    <row r="52" spans="1:30" x14ac:dyDescent="0.3">
      <c r="A52" s="161" t="s">
        <v>235</v>
      </c>
      <c r="B52" s="162">
        <v>85960.78</v>
      </c>
      <c r="C52" s="162">
        <v>77798.89</v>
      </c>
      <c r="D52" s="162">
        <v>79890.31</v>
      </c>
      <c r="E52" s="162">
        <v>84692.08</v>
      </c>
      <c r="F52" s="162">
        <v>82430.62</v>
      </c>
      <c r="G52" s="162">
        <v>83400.039999999994</v>
      </c>
      <c r="H52" s="162">
        <v>83953.73</v>
      </c>
      <c r="I52" s="162">
        <v>82456.100000000006</v>
      </c>
      <c r="J52" s="162">
        <v>81902.320000000007</v>
      </c>
      <c r="K52" s="162">
        <v>86032.23</v>
      </c>
      <c r="L52" s="162">
        <v>86212.4</v>
      </c>
      <c r="M52" s="162">
        <v>95410.79</v>
      </c>
      <c r="P52" s="170"/>
      <c r="Q52" s="170"/>
      <c r="R52" s="170"/>
      <c r="S52" s="170"/>
      <c r="T52" s="170"/>
      <c r="U52" s="170"/>
      <c r="V52" s="170"/>
      <c r="W52" s="170"/>
      <c r="X52" s="170"/>
      <c r="Y52" s="170"/>
      <c r="Z52" s="170"/>
      <c r="AA52" s="170"/>
      <c r="AB52" s="170"/>
      <c r="AC52" s="170"/>
      <c r="AD52" s="170"/>
    </row>
    <row r="53" spans="1:30" x14ac:dyDescent="0.3">
      <c r="A53" s="161" t="s">
        <v>237</v>
      </c>
      <c r="B53" s="162">
        <v>87485.97</v>
      </c>
      <c r="C53" s="162">
        <v>84671.05</v>
      </c>
      <c r="D53" s="162">
        <v>86664.53</v>
      </c>
      <c r="E53" s="162">
        <v>91944.33</v>
      </c>
      <c r="F53" s="162">
        <v>87943.07</v>
      </c>
      <c r="G53" s="162">
        <v>84222.58</v>
      </c>
      <c r="H53" s="162">
        <v>89659.55</v>
      </c>
      <c r="I53" s="162">
        <v>89187.88</v>
      </c>
      <c r="J53" s="162">
        <v>91604.15</v>
      </c>
      <c r="K53" s="162">
        <v>92756.79</v>
      </c>
      <c r="L53" s="162">
        <v>90492.49</v>
      </c>
      <c r="M53" s="162">
        <v>103584.54</v>
      </c>
      <c r="P53" s="170"/>
      <c r="Q53" s="170"/>
      <c r="R53" s="170"/>
      <c r="S53" s="170"/>
      <c r="T53" s="170"/>
      <c r="U53" s="170"/>
      <c r="V53" s="170"/>
      <c r="W53" s="170"/>
      <c r="X53" s="170"/>
      <c r="Y53" s="170"/>
      <c r="Z53" s="170"/>
      <c r="AA53" s="170"/>
      <c r="AB53" s="170"/>
      <c r="AC53" s="170"/>
      <c r="AD53" s="170"/>
    </row>
    <row r="54" spans="1:30" x14ac:dyDescent="0.3">
      <c r="A54" s="161" t="s">
        <v>238</v>
      </c>
      <c r="B54" s="162">
        <v>93760.74</v>
      </c>
      <c r="C54" s="162">
        <v>91101.05</v>
      </c>
      <c r="D54" s="162">
        <v>96029.42</v>
      </c>
      <c r="E54" s="162">
        <v>97033.79</v>
      </c>
      <c r="F54" s="162">
        <v>94546.72</v>
      </c>
      <c r="G54" s="162">
        <v>98493.16</v>
      </c>
      <c r="H54" s="162">
        <v>100792.46</v>
      </c>
      <c r="I54" s="162">
        <v>99999.99</v>
      </c>
      <c r="J54" s="162">
        <v>107953.03</v>
      </c>
      <c r="K54" s="162">
        <v>115217.36</v>
      </c>
      <c r="L54" s="162">
        <v>107809.2</v>
      </c>
      <c r="M54" s="162">
        <v>122583.33</v>
      </c>
      <c r="P54" s="170"/>
      <c r="Q54" s="170"/>
      <c r="R54" s="170"/>
      <c r="S54" s="170"/>
      <c r="T54" s="170"/>
      <c r="U54" s="170"/>
      <c r="V54" s="170"/>
      <c r="W54" s="170"/>
      <c r="X54" s="170"/>
      <c r="Y54" s="170"/>
      <c r="Z54" s="170"/>
      <c r="AA54" s="170"/>
      <c r="AB54" s="170"/>
      <c r="AC54" s="170"/>
      <c r="AD54" s="170"/>
    </row>
    <row r="55" spans="1:30" x14ac:dyDescent="0.3">
      <c r="A55" s="161" t="s">
        <v>239</v>
      </c>
      <c r="B55" s="162">
        <v>108136.04</v>
      </c>
      <c r="C55" s="162">
        <v>111075.31</v>
      </c>
      <c r="D55" s="162">
        <v>112174.81</v>
      </c>
      <c r="E55" s="162">
        <v>111395.58</v>
      </c>
      <c r="F55" s="162">
        <v>111016.8</v>
      </c>
      <c r="G55" s="162">
        <v>109956.04</v>
      </c>
      <c r="H55" s="162">
        <v>110845.2</v>
      </c>
      <c r="I55" s="162">
        <v>114472.02</v>
      </c>
      <c r="J55" s="162">
        <v>113367.26</v>
      </c>
      <c r="K55" s="162">
        <v>113280.62</v>
      </c>
      <c r="L55" s="162">
        <v>114482.43</v>
      </c>
      <c r="M55" s="162">
        <v>126052.07</v>
      </c>
      <c r="P55" s="170"/>
      <c r="Q55" s="170"/>
      <c r="R55" s="170"/>
      <c r="S55" s="170"/>
      <c r="T55" s="170"/>
      <c r="U55" s="170"/>
      <c r="V55" s="170"/>
      <c r="W55" s="170"/>
      <c r="X55" s="170"/>
      <c r="Y55" s="170"/>
      <c r="Z55" s="170"/>
      <c r="AA55" s="170"/>
      <c r="AB55" s="170"/>
      <c r="AC55" s="170"/>
      <c r="AD55" s="170"/>
    </row>
    <row r="56" spans="1:30" x14ac:dyDescent="0.3">
      <c r="A56" s="161" t="s">
        <v>240</v>
      </c>
      <c r="B56" s="162">
        <v>0</v>
      </c>
      <c r="C56" s="162">
        <v>0</v>
      </c>
      <c r="D56" s="162">
        <v>0</v>
      </c>
      <c r="E56" s="162">
        <v>0</v>
      </c>
      <c r="F56" s="162">
        <v>0</v>
      </c>
      <c r="G56" s="162">
        <v>0</v>
      </c>
      <c r="H56" s="162">
        <v>0</v>
      </c>
      <c r="I56" s="162">
        <v>0</v>
      </c>
      <c r="J56" s="162">
        <v>0</v>
      </c>
      <c r="K56" s="162">
        <v>0</v>
      </c>
      <c r="L56" s="162">
        <v>0</v>
      </c>
      <c r="M56" s="162">
        <v>0</v>
      </c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</row>
    <row r="57" spans="1:30" ht="14.4" customHeight="1" x14ac:dyDescent="0.3">
      <c r="A57" s="261"/>
      <c r="B57" s="261"/>
      <c r="C57" s="261"/>
      <c r="D57" s="261"/>
      <c r="E57" s="261"/>
      <c r="F57" s="261"/>
      <c r="G57" s="261"/>
      <c r="H57" s="261"/>
      <c r="I57" s="261"/>
      <c r="J57" s="261"/>
      <c r="K57" s="261"/>
      <c r="L57" s="261"/>
      <c r="M57" s="261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</row>
    <row r="58" spans="1:30" x14ac:dyDescent="0.3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P58" s="170"/>
      <c r="Q58" s="170"/>
      <c r="R58" s="170"/>
      <c r="S58" s="170"/>
      <c r="T58" s="170"/>
      <c r="U58" s="170"/>
      <c r="V58" s="170"/>
      <c r="W58" s="170"/>
      <c r="X58" s="170"/>
      <c r="Y58" s="170"/>
      <c r="Z58" s="170"/>
      <c r="AA58" s="170"/>
      <c r="AB58" s="170"/>
      <c r="AC58" s="170"/>
      <c r="AD58" s="170"/>
    </row>
    <row r="59" spans="1:30" ht="15" customHeight="1" x14ac:dyDescent="0.3">
      <c r="A59" s="202"/>
      <c r="B59" s="196" t="s">
        <v>191</v>
      </c>
      <c r="C59" s="196"/>
      <c r="D59" s="196"/>
      <c r="E59" s="196"/>
      <c r="F59" s="196"/>
      <c r="G59" s="196"/>
      <c r="H59" s="196"/>
      <c r="I59" s="196"/>
      <c r="J59" s="196"/>
      <c r="K59" s="196"/>
      <c r="L59" s="196"/>
      <c r="M59" s="196"/>
      <c r="P59" s="170"/>
      <c r="Q59" s="170"/>
      <c r="R59" s="170"/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</row>
    <row r="60" spans="1:30" x14ac:dyDescent="0.3">
      <c r="A60" s="202"/>
      <c r="B60" s="171" t="s">
        <v>91</v>
      </c>
      <c r="C60" s="171" t="s">
        <v>92</v>
      </c>
      <c r="D60" s="171" t="s">
        <v>93</v>
      </c>
      <c r="E60" s="171" t="s">
        <v>94</v>
      </c>
      <c r="F60" s="171" t="s">
        <v>95</v>
      </c>
      <c r="G60" s="171" t="s">
        <v>96</v>
      </c>
      <c r="H60" s="171" t="s">
        <v>97</v>
      </c>
      <c r="I60" s="171" t="s">
        <v>98</v>
      </c>
      <c r="J60" s="171" t="s">
        <v>99</v>
      </c>
      <c r="K60" s="171" t="s">
        <v>100</v>
      </c>
      <c r="L60" s="171" t="s">
        <v>101</v>
      </c>
      <c r="M60" s="171" t="s">
        <v>102</v>
      </c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</row>
    <row r="61" spans="1:30" x14ac:dyDescent="0.3">
      <c r="A61" s="202"/>
      <c r="B61" s="153" t="s">
        <v>219</v>
      </c>
      <c r="C61" s="153" t="s">
        <v>219</v>
      </c>
      <c r="D61" s="153" t="s">
        <v>219</v>
      </c>
      <c r="E61" s="153" t="s">
        <v>219</v>
      </c>
      <c r="F61" s="153" t="s">
        <v>219</v>
      </c>
      <c r="G61" s="153" t="s">
        <v>219</v>
      </c>
      <c r="H61" s="153" t="s">
        <v>219</v>
      </c>
      <c r="I61" s="153" t="s">
        <v>219</v>
      </c>
      <c r="J61" s="153" t="s">
        <v>219</v>
      </c>
      <c r="K61" s="153" t="s">
        <v>219</v>
      </c>
      <c r="L61" s="153" t="s">
        <v>219</v>
      </c>
      <c r="M61" s="153" t="s">
        <v>219</v>
      </c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</row>
    <row r="62" spans="1:30" x14ac:dyDescent="0.3">
      <c r="A62" s="161">
        <v>1996</v>
      </c>
      <c r="B62" s="162">
        <v>12312</v>
      </c>
      <c r="C62" s="162">
        <v>13638</v>
      </c>
      <c r="D62" s="162">
        <v>10455</v>
      </c>
      <c r="E62" s="162">
        <v>11601</v>
      </c>
      <c r="F62" s="162">
        <v>11142</v>
      </c>
      <c r="G62" s="162">
        <v>11444</v>
      </c>
      <c r="H62" s="162">
        <v>11086</v>
      </c>
      <c r="I62" s="162">
        <v>11293</v>
      </c>
      <c r="J62" s="162">
        <v>10571</v>
      </c>
      <c r="K62" s="162">
        <v>10957</v>
      </c>
      <c r="L62" s="162">
        <v>11450</v>
      </c>
      <c r="M62" s="162">
        <v>12589</v>
      </c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</row>
    <row r="63" spans="1:30" x14ac:dyDescent="0.3">
      <c r="A63" s="161" t="s">
        <v>222</v>
      </c>
      <c r="B63" s="162">
        <v>12389</v>
      </c>
      <c r="C63" s="162">
        <v>10787</v>
      </c>
      <c r="D63" s="162">
        <v>10030</v>
      </c>
      <c r="E63" s="162">
        <v>10179</v>
      </c>
      <c r="F63" s="162">
        <v>10331</v>
      </c>
      <c r="G63" s="162">
        <v>9811</v>
      </c>
      <c r="H63" s="162">
        <v>10804</v>
      </c>
      <c r="I63" s="162">
        <v>10298</v>
      </c>
      <c r="J63" s="162">
        <v>10627</v>
      </c>
      <c r="K63" s="162">
        <v>11001</v>
      </c>
      <c r="L63" s="162">
        <v>11127</v>
      </c>
      <c r="M63" s="162">
        <v>13500</v>
      </c>
      <c r="P63" s="170"/>
      <c r="Q63" s="170"/>
      <c r="R63" s="170"/>
      <c r="S63" s="170"/>
      <c r="T63" s="170"/>
      <c r="U63" s="170"/>
      <c r="V63" s="170"/>
      <c r="W63" s="170"/>
      <c r="X63" s="170"/>
      <c r="Y63" s="170"/>
      <c r="Z63" s="170"/>
      <c r="AA63" s="170"/>
      <c r="AB63" s="170"/>
      <c r="AC63" s="170"/>
      <c r="AD63" s="170"/>
    </row>
    <row r="64" spans="1:30" x14ac:dyDescent="0.3">
      <c r="A64" s="161" t="s">
        <v>224</v>
      </c>
      <c r="B64" s="162">
        <v>12826</v>
      </c>
      <c r="C64" s="162">
        <v>11861</v>
      </c>
      <c r="D64" s="162">
        <v>11661</v>
      </c>
      <c r="E64" s="162">
        <v>12791</v>
      </c>
      <c r="F64" s="162">
        <v>11852</v>
      </c>
      <c r="G64" s="162">
        <v>11754</v>
      </c>
      <c r="H64" s="162">
        <v>12700</v>
      </c>
      <c r="I64" s="162">
        <v>12413</v>
      </c>
      <c r="J64" s="162">
        <v>12363</v>
      </c>
      <c r="K64" s="162">
        <v>12932</v>
      </c>
      <c r="L64" s="162">
        <v>12019</v>
      </c>
      <c r="M64" s="162">
        <v>15010</v>
      </c>
      <c r="P64" s="170"/>
      <c r="Q64" s="170"/>
      <c r="R64" s="170"/>
      <c r="S64" s="170"/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70"/>
    </row>
    <row r="65" spans="1:30" x14ac:dyDescent="0.3">
      <c r="A65" s="161" t="s">
        <v>226</v>
      </c>
      <c r="B65" s="162">
        <v>11258</v>
      </c>
      <c r="C65" s="162">
        <v>11714</v>
      </c>
      <c r="D65" s="162">
        <v>11861</v>
      </c>
      <c r="E65" s="162">
        <v>10140</v>
      </c>
      <c r="F65" s="162">
        <v>9682</v>
      </c>
      <c r="G65" s="162">
        <v>8362</v>
      </c>
      <c r="H65" s="162">
        <v>9821</v>
      </c>
      <c r="I65" s="162">
        <v>9104</v>
      </c>
      <c r="J65" s="162">
        <v>7868</v>
      </c>
      <c r="K65" s="162">
        <v>6675</v>
      </c>
      <c r="L65" s="162">
        <v>12019</v>
      </c>
      <c r="M65" s="162">
        <v>7820</v>
      </c>
      <c r="P65" s="170"/>
      <c r="Q65" s="170"/>
      <c r="R65" s="170"/>
      <c r="S65" s="170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70"/>
    </row>
    <row r="66" spans="1:30" x14ac:dyDescent="0.3">
      <c r="A66" s="161" t="s">
        <v>228</v>
      </c>
      <c r="B66" s="162">
        <v>7535</v>
      </c>
      <c r="C66" s="162">
        <v>7040</v>
      </c>
      <c r="D66" s="162">
        <v>6438</v>
      </c>
      <c r="E66" s="162">
        <v>5171</v>
      </c>
      <c r="F66" s="162">
        <v>4729</v>
      </c>
      <c r="G66" s="162">
        <v>5283</v>
      </c>
      <c r="H66" s="162">
        <v>4424</v>
      </c>
      <c r="I66" s="162">
        <v>4885</v>
      </c>
      <c r="J66" s="162">
        <v>4898</v>
      </c>
      <c r="K66" s="162">
        <v>4659</v>
      </c>
      <c r="L66" s="162">
        <v>4706</v>
      </c>
      <c r="M66" s="162">
        <v>5641</v>
      </c>
      <c r="P66" s="170"/>
      <c r="Q66" s="170"/>
      <c r="R66" s="170"/>
      <c r="S66" s="170"/>
      <c r="T66" s="170"/>
      <c r="U66" s="170"/>
      <c r="V66" s="170"/>
      <c r="W66" s="170"/>
      <c r="X66" s="170"/>
      <c r="Y66" s="170"/>
      <c r="Z66" s="170"/>
      <c r="AA66" s="170"/>
      <c r="AB66" s="170"/>
      <c r="AC66" s="170"/>
      <c r="AD66" s="170"/>
    </row>
    <row r="67" spans="1:30" x14ac:dyDescent="0.3">
      <c r="A67" s="161" t="s">
        <v>230</v>
      </c>
      <c r="B67" s="162">
        <v>5163</v>
      </c>
      <c r="C67" s="162">
        <v>5216</v>
      </c>
      <c r="D67" s="162">
        <v>4787</v>
      </c>
      <c r="E67" s="162">
        <v>4937</v>
      </c>
      <c r="F67" s="162">
        <v>4839</v>
      </c>
      <c r="G67" s="162">
        <v>5067</v>
      </c>
      <c r="H67" s="162">
        <v>4767</v>
      </c>
      <c r="I67" s="162">
        <v>5054</v>
      </c>
      <c r="J67" s="162">
        <v>5056</v>
      </c>
      <c r="K67" s="162">
        <v>4771</v>
      </c>
      <c r="L67" s="162">
        <v>5525</v>
      </c>
      <c r="M67" s="162">
        <v>5525</v>
      </c>
      <c r="P67" s="170"/>
      <c r="Q67" s="170"/>
      <c r="R67" s="170"/>
      <c r="S67" s="170"/>
      <c r="T67" s="170"/>
      <c r="U67" s="170"/>
      <c r="V67" s="170"/>
      <c r="W67" s="170"/>
      <c r="X67" s="170"/>
      <c r="Y67" s="170"/>
      <c r="Z67" s="170"/>
      <c r="AA67" s="170"/>
      <c r="AB67" s="170"/>
      <c r="AC67" s="170"/>
      <c r="AD67" s="170"/>
    </row>
    <row r="68" spans="1:30" x14ac:dyDescent="0.3">
      <c r="A68" s="161" t="s">
        <v>232</v>
      </c>
      <c r="B68" s="162">
        <v>6483.25</v>
      </c>
      <c r="C68" s="162">
        <v>6439.46</v>
      </c>
      <c r="D68" s="162">
        <v>6240.32</v>
      </c>
      <c r="E68" s="162">
        <v>6580.58</v>
      </c>
      <c r="F68" s="162">
        <v>6608.08</v>
      </c>
      <c r="G68" s="162">
        <v>6602.65</v>
      </c>
      <c r="H68" s="162">
        <v>6935.45</v>
      </c>
      <c r="I68" s="162">
        <v>7217.03</v>
      </c>
      <c r="J68" s="162">
        <v>6910.21</v>
      </c>
      <c r="K68" s="162">
        <v>7201.54</v>
      </c>
      <c r="L68" s="162">
        <v>6293.7</v>
      </c>
      <c r="M68" s="162">
        <v>8498.16</v>
      </c>
      <c r="P68" s="170"/>
      <c r="Q68" s="170"/>
      <c r="R68" s="170"/>
      <c r="S68" s="170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70"/>
    </row>
    <row r="69" spans="1:30" x14ac:dyDescent="0.3">
      <c r="A69" s="161" t="s">
        <v>234</v>
      </c>
      <c r="B69" s="162">
        <v>7564.74</v>
      </c>
      <c r="C69" s="162">
        <v>6789.32</v>
      </c>
      <c r="D69" s="162">
        <v>6723.02</v>
      </c>
      <c r="E69" s="162">
        <v>6267.85</v>
      </c>
      <c r="F69" s="162">
        <v>6598.74</v>
      </c>
      <c r="G69" s="162">
        <v>6612.37</v>
      </c>
      <c r="H69" s="162">
        <v>6271.84</v>
      </c>
      <c r="I69" s="162">
        <v>6742.26</v>
      </c>
      <c r="J69" s="162">
        <v>6230.93</v>
      </c>
      <c r="K69" s="162">
        <v>6120.68</v>
      </c>
      <c r="L69" s="162">
        <v>5806.93</v>
      </c>
      <c r="M69" s="162">
        <v>7777.13</v>
      </c>
      <c r="P69" s="170"/>
      <c r="Q69" s="170"/>
      <c r="R69" s="170"/>
      <c r="S69" s="170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70"/>
    </row>
    <row r="70" spans="1:30" x14ac:dyDescent="0.3">
      <c r="A70" s="161" t="s">
        <v>236</v>
      </c>
      <c r="B70" s="162">
        <v>6505.29</v>
      </c>
      <c r="C70" s="162">
        <v>5671.07</v>
      </c>
      <c r="D70" s="162">
        <v>6278.97</v>
      </c>
      <c r="E70" s="162">
        <v>6617.77</v>
      </c>
      <c r="F70" s="162">
        <v>5594.71</v>
      </c>
      <c r="G70" s="162">
        <v>5858.57</v>
      </c>
      <c r="H70" s="162">
        <v>6089.65</v>
      </c>
      <c r="I70" s="162">
        <v>5849.61</v>
      </c>
      <c r="J70" s="162">
        <v>5953.72</v>
      </c>
      <c r="K70" s="162">
        <v>5577.9</v>
      </c>
      <c r="L70" s="162">
        <v>5122.82</v>
      </c>
      <c r="M70" s="162">
        <v>5942.32</v>
      </c>
      <c r="P70" s="170"/>
      <c r="Q70" s="170"/>
      <c r="R70" s="170"/>
      <c r="S70" s="170"/>
      <c r="T70" s="170"/>
      <c r="U70" s="170"/>
      <c r="V70" s="170"/>
      <c r="W70" s="170"/>
      <c r="X70" s="170"/>
      <c r="Y70" s="170"/>
      <c r="Z70" s="170"/>
      <c r="AA70" s="170"/>
      <c r="AB70" s="170"/>
      <c r="AC70" s="170"/>
      <c r="AD70" s="170"/>
    </row>
    <row r="71" spans="1:30" x14ac:dyDescent="0.3">
      <c r="A71" s="161" t="s">
        <v>220</v>
      </c>
      <c r="B71" s="162">
        <v>6920.23</v>
      </c>
      <c r="C71" s="162">
        <v>5318.46</v>
      </c>
      <c r="D71" s="162">
        <v>6797.94</v>
      </c>
      <c r="E71" s="162">
        <v>4738.57</v>
      </c>
      <c r="F71" s="162">
        <v>5013.16</v>
      </c>
      <c r="G71" s="162">
        <v>6655.93</v>
      </c>
      <c r="H71" s="162">
        <v>5473.42</v>
      </c>
      <c r="I71" s="162">
        <v>5395.69</v>
      </c>
      <c r="J71" s="162">
        <v>5697.47</v>
      </c>
      <c r="K71" s="162">
        <v>5129.8100000000004</v>
      </c>
      <c r="L71" s="162">
        <v>4827.91</v>
      </c>
      <c r="M71" s="162">
        <v>6041.08</v>
      </c>
      <c r="P71" s="170"/>
      <c r="Q71" s="170"/>
      <c r="R71" s="170"/>
      <c r="S71" s="170"/>
      <c r="T71" s="170"/>
      <c r="U71" s="170"/>
      <c r="V71" s="170"/>
      <c r="W71" s="170"/>
      <c r="X71" s="170"/>
      <c r="Y71" s="170"/>
      <c r="Z71" s="170"/>
      <c r="AA71" s="170"/>
      <c r="AB71" s="170"/>
      <c r="AC71" s="170"/>
      <c r="AD71" s="170"/>
    </row>
    <row r="72" spans="1:30" x14ac:dyDescent="0.3">
      <c r="A72" s="161" t="s">
        <v>221</v>
      </c>
      <c r="B72" s="162">
        <v>4968.3500000000004</v>
      </c>
      <c r="C72" s="162">
        <v>5838.82</v>
      </c>
      <c r="D72" s="162">
        <v>4847.5600000000004</v>
      </c>
      <c r="E72" s="162">
        <v>3270.46</v>
      </c>
      <c r="F72" s="162">
        <v>5052.59</v>
      </c>
      <c r="G72" s="162">
        <v>4398.87</v>
      </c>
      <c r="H72" s="162">
        <v>4120.1000000000004</v>
      </c>
      <c r="I72" s="162">
        <v>5351.48</v>
      </c>
      <c r="J72" s="162">
        <v>4566.5</v>
      </c>
      <c r="K72" s="162">
        <v>3519.13</v>
      </c>
      <c r="L72" s="162">
        <v>3903.47</v>
      </c>
      <c r="M72" s="162">
        <v>4819.29</v>
      </c>
      <c r="P72" s="170"/>
      <c r="Q72" s="170"/>
      <c r="R72" s="170"/>
      <c r="S72" s="170"/>
      <c r="T72" s="170"/>
      <c r="U72" s="170"/>
      <c r="V72" s="170"/>
      <c r="W72" s="170"/>
      <c r="X72" s="170"/>
      <c r="Y72" s="170"/>
      <c r="Z72" s="170"/>
      <c r="AA72" s="170"/>
      <c r="AB72" s="170"/>
      <c r="AC72" s="170"/>
      <c r="AD72" s="170"/>
    </row>
    <row r="73" spans="1:30" x14ac:dyDescent="0.3">
      <c r="A73" s="161" t="s">
        <v>223</v>
      </c>
      <c r="B73" s="162">
        <v>4869.29</v>
      </c>
      <c r="C73" s="162">
        <v>4384.5</v>
      </c>
      <c r="D73" s="162">
        <v>5309.81</v>
      </c>
      <c r="E73" s="162">
        <v>3020.02</v>
      </c>
      <c r="F73" s="162">
        <v>2348.71</v>
      </c>
      <c r="G73" s="162">
        <v>3817.91</v>
      </c>
      <c r="H73" s="162">
        <v>4601.8100000000004</v>
      </c>
      <c r="I73" s="162">
        <v>3851.97</v>
      </c>
      <c r="J73" s="162">
        <v>3494.23</v>
      </c>
      <c r="K73" s="162">
        <v>5315.74</v>
      </c>
      <c r="L73" s="162">
        <v>4997.1499999999996</v>
      </c>
      <c r="M73" s="162">
        <v>3630.63</v>
      </c>
      <c r="P73" s="170"/>
      <c r="Q73" s="170"/>
      <c r="R73" s="170"/>
      <c r="S73" s="170"/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70"/>
    </row>
    <row r="74" spans="1:30" x14ac:dyDescent="0.3">
      <c r="A74" s="161" t="s">
        <v>225</v>
      </c>
      <c r="B74" s="162">
        <v>4205.9399999999996</v>
      </c>
      <c r="C74" s="162">
        <v>5042.66</v>
      </c>
      <c r="D74" s="162">
        <v>3712.03</v>
      </c>
      <c r="E74" s="162">
        <v>2677.13</v>
      </c>
      <c r="F74" s="162">
        <v>3951.87</v>
      </c>
      <c r="G74" s="162">
        <v>2902.8</v>
      </c>
      <c r="H74" s="162">
        <v>3349.65</v>
      </c>
      <c r="I74" s="162">
        <v>3342.48</v>
      </c>
      <c r="J74" s="162">
        <v>3346.49</v>
      </c>
      <c r="K74" s="162">
        <v>2724.84</v>
      </c>
      <c r="L74" s="162">
        <v>3324.97</v>
      </c>
      <c r="M74" s="162">
        <v>3165.61</v>
      </c>
      <c r="P74" s="170"/>
      <c r="Q74" s="170"/>
      <c r="R74" s="170"/>
      <c r="S74" s="172"/>
      <c r="T74" s="170"/>
      <c r="U74" s="170"/>
      <c r="V74" s="170"/>
      <c r="W74" s="170"/>
      <c r="X74" s="170"/>
      <c r="Y74" s="170"/>
      <c r="Z74" s="170"/>
      <c r="AA74" s="170"/>
      <c r="AB74" s="170"/>
      <c r="AC74" s="170"/>
      <c r="AD74" s="170"/>
    </row>
    <row r="75" spans="1:30" x14ac:dyDescent="0.3">
      <c r="A75" s="161" t="s">
        <v>227</v>
      </c>
      <c r="B75" s="162">
        <v>3100.03</v>
      </c>
      <c r="C75" s="162">
        <v>3088.86</v>
      </c>
      <c r="D75" s="162">
        <v>3251.19</v>
      </c>
      <c r="E75" s="162">
        <v>3430.67</v>
      </c>
      <c r="F75" s="162">
        <v>2969.02</v>
      </c>
      <c r="G75" s="162">
        <v>3427.2</v>
      </c>
      <c r="H75" s="162">
        <v>3197.16</v>
      </c>
      <c r="I75" s="162">
        <v>3662.48</v>
      </c>
      <c r="J75" s="162">
        <v>2889.7</v>
      </c>
      <c r="K75" s="162">
        <v>3522.32</v>
      </c>
      <c r="L75" s="162">
        <v>2920.17</v>
      </c>
      <c r="M75" s="162">
        <v>3654.87</v>
      </c>
      <c r="R75" s="53"/>
      <c r="S75" s="172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</row>
    <row r="76" spans="1:30" x14ac:dyDescent="0.3">
      <c r="A76" s="161" t="s">
        <v>229</v>
      </c>
      <c r="B76" s="162">
        <v>3693.3</v>
      </c>
      <c r="C76" s="162">
        <v>3238.35</v>
      </c>
      <c r="D76" s="162">
        <v>3723.62</v>
      </c>
      <c r="E76" s="162">
        <v>3297.81</v>
      </c>
      <c r="F76" s="162">
        <v>3259.35</v>
      </c>
      <c r="G76" s="162">
        <v>3370.66</v>
      </c>
      <c r="H76" s="162">
        <v>3287.82</v>
      </c>
      <c r="I76" s="162">
        <v>3280.24</v>
      </c>
      <c r="J76" s="162">
        <v>3256.36</v>
      </c>
      <c r="K76" s="162">
        <v>3355.7</v>
      </c>
      <c r="L76" s="162">
        <v>3099.1</v>
      </c>
      <c r="M76" s="162">
        <v>3700.1</v>
      </c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</row>
    <row r="77" spans="1:30" x14ac:dyDescent="0.3">
      <c r="A77" s="161" t="s">
        <v>231</v>
      </c>
      <c r="B77" s="162">
        <v>3474.78</v>
      </c>
      <c r="C77" s="162">
        <v>3276.14</v>
      </c>
      <c r="D77" s="162">
        <v>3430.45</v>
      </c>
      <c r="E77" s="162">
        <v>3441</v>
      </c>
      <c r="F77" s="162">
        <v>3317.96</v>
      </c>
      <c r="G77" s="162">
        <v>3449.87</v>
      </c>
      <c r="H77" s="162">
        <v>3359.2</v>
      </c>
      <c r="I77" s="162">
        <v>3403.77</v>
      </c>
      <c r="J77" s="162">
        <v>3431</v>
      </c>
      <c r="K77" s="162">
        <v>3285.57</v>
      </c>
      <c r="L77" s="162">
        <v>3371.86</v>
      </c>
      <c r="M77" s="162">
        <v>3760.18</v>
      </c>
      <c r="R77" s="262"/>
      <c r="S77" s="262"/>
      <c r="T77" s="262"/>
      <c r="U77" s="262"/>
      <c r="V77" s="173"/>
      <c r="W77" s="53"/>
      <c r="X77" s="53"/>
      <c r="Y77" s="53"/>
      <c r="Z77" s="53"/>
      <c r="AA77" s="53"/>
      <c r="AB77" s="53"/>
      <c r="AC77" s="53"/>
      <c r="AD77" s="53"/>
    </row>
    <row r="78" spans="1:30" x14ac:dyDescent="0.3">
      <c r="A78" s="161" t="s">
        <v>233</v>
      </c>
      <c r="B78" s="162">
        <v>3642.61</v>
      </c>
      <c r="C78" s="162">
        <v>3443.42</v>
      </c>
      <c r="D78" s="162">
        <v>3502.06</v>
      </c>
      <c r="E78" s="162">
        <v>3300.96</v>
      </c>
      <c r="F78" s="162">
        <v>3379.26</v>
      </c>
      <c r="G78" s="162">
        <v>3515.45</v>
      </c>
      <c r="H78" s="162">
        <v>3529.95</v>
      </c>
      <c r="I78" s="162">
        <v>3611.96</v>
      </c>
      <c r="J78" s="162">
        <v>3302.73</v>
      </c>
      <c r="K78" s="162">
        <v>3498.12</v>
      </c>
      <c r="L78" s="162">
        <v>3629.66</v>
      </c>
      <c r="M78" s="162">
        <v>3826.47</v>
      </c>
      <c r="R78" s="258"/>
      <c r="S78" s="258"/>
      <c r="T78" s="258"/>
      <c r="U78" s="173"/>
      <c r="V78" s="173"/>
      <c r="W78" s="53"/>
      <c r="X78" s="174"/>
      <c r="Y78" s="53"/>
      <c r="Z78" s="53"/>
      <c r="AA78" s="53"/>
      <c r="AB78" s="53"/>
      <c r="AC78" s="53"/>
      <c r="AD78" s="53"/>
    </row>
    <row r="79" spans="1:30" x14ac:dyDescent="0.3">
      <c r="A79" s="161" t="s">
        <v>235</v>
      </c>
      <c r="B79" s="162">
        <v>3890.97</v>
      </c>
      <c r="C79" s="162">
        <v>3433.63</v>
      </c>
      <c r="D79" s="162">
        <v>3475.26</v>
      </c>
      <c r="E79" s="162">
        <v>3675.99</v>
      </c>
      <c r="F79" s="162">
        <v>3525.77</v>
      </c>
      <c r="G79" s="162">
        <v>3671.96</v>
      </c>
      <c r="H79" s="162">
        <v>3658.09</v>
      </c>
      <c r="I79" s="162">
        <v>3576.2</v>
      </c>
      <c r="J79" s="162">
        <v>3481.35</v>
      </c>
      <c r="K79" s="162">
        <v>3688.91</v>
      </c>
      <c r="L79" s="162">
        <v>3590.06</v>
      </c>
      <c r="M79" s="162">
        <v>4172.07</v>
      </c>
      <c r="R79" s="258"/>
      <c r="S79" s="258"/>
      <c r="T79" s="258"/>
      <c r="U79" s="173"/>
      <c r="V79" s="175"/>
      <c r="W79" s="53"/>
      <c r="X79" s="53"/>
      <c r="Y79" s="53"/>
      <c r="Z79" s="53"/>
      <c r="AA79" s="53"/>
      <c r="AB79" s="53"/>
      <c r="AC79" s="53"/>
      <c r="AD79" s="53"/>
    </row>
    <row r="80" spans="1:30" x14ac:dyDescent="0.3">
      <c r="A80" s="161" t="s">
        <v>237</v>
      </c>
      <c r="B80" s="162">
        <v>3825.34</v>
      </c>
      <c r="C80" s="162">
        <v>3579.19</v>
      </c>
      <c r="D80" s="162">
        <v>3669.82</v>
      </c>
      <c r="E80" s="162">
        <v>3932.04</v>
      </c>
      <c r="F80" s="162">
        <v>3646.02</v>
      </c>
      <c r="G80" s="162">
        <v>3468.58</v>
      </c>
      <c r="H80" s="162">
        <v>3758.48</v>
      </c>
      <c r="I80" s="162">
        <v>3760.48</v>
      </c>
      <c r="J80" s="162">
        <v>3801.68</v>
      </c>
      <c r="K80" s="162">
        <v>3891.97</v>
      </c>
      <c r="L80" s="162">
        <v>3698.58</v>
      </c>
      <c r="M80" s="162">
        <v>4504.97</v>
      </c>
      <c r="R80" s="258"/>
      <c r="S80" s="258"/>
      <c r="T80" s="258"/>
      <c r="U80" s="173"/>
      <c r="V80" s="175"/>
      <c r="W80" s="53"/>
      <c r="X80" s="53"/>
      <c r="Y80" s="53"/>
      <c r="Z80" s="53"/>
      <c r="AA80" s="53"/>
      <c r="AB80" s="53"/>
      <c r="AC80" s="53"/>
      <c r="AD80" s="53"/>
    </row>
    <row r="81" spans="1:30" x14ac:dyDescent="0.3">
      <c r="A81" s="161" t="s">
        <v>238</v>
      </c>
      <c r="B81" s="162">
        <v>4028.55</v>
      </c>
      <c r="C81" s="162">
        <v>3833.77</v>
      </c>
      <c r="D81" s="162">
        <v>3994.71</v>
      </c>
      <c r="E81" s="162">
        <v>3933.79</v>
      </c>
      <c r="F81" s="162">
        <v>3797.18</v>
      </c>
      <c r="G81" s="162">
        <v>3828.47</v>
      </c>
      <c r="H81" s="162">
        <v>3933.11</v>
      </c>
      <c r="I81" s="162">
        <v>3816.84</v>
      </c>
      <c r="J81" s="162">
        <v>3796.51</v>
      </c>
      <c r="K81" s="162">
        <v>3965.44</v>
      </c>
      <c r="L81" s="162">
        <v>3714.89</v>
      </c>
      <c r="M81" s="162">
        <v>4499.38</v>
      </c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</row>
    <row r="82" spans="1:30" x14ac:dyDescent="0.3">
      <c r="A82" s="161" t="s">
        <v>239</v>
      </c>
      <c r="B82" s="162">
        <v>3967.22</v>
      </c>
      <c r="C82" s="162">
        <v>3871.94</v>
      </c>
      <c r="D82" s="162">
        <v>4196.07</v>
      </c>
      <c r="E82" s="162">
        <v>3933.86</v>
      </c>
      <c r="F82" s="162">
        <v>3963.94</v>
      </c>
      <c r="G82" s="162">
        <v>4002.66</v>
      </c>
      <c r="H82" s="162">
        <v>3946.67</v>
      </c>
      <c r="I82" s="162">
        <v>4195.83</v>
      </c>
      <c r="J82" s="162">
        <v>3994.18</v>
      </c>
      <c r="K82" s="162">
        <v>3946.57</v>
      </c>
      <c r="L82" s="162">
        <v>3998.45</v>
      </c>
      <c r="M82" s="162">
        <v>4704.2</v>
      </c>
      <c r="R82" s="176"/>
      <c r="S82" s="176"/>
      <c r="T82" s="176"/>
      <c r="U82" s="53"/>
      <c r="V82" s="53"/>
      <c r="W82" s="53"/>
      <c r="X82" s="53"/>
      <c r="Y82" s="53"/>
      <c r="Z82" s="53"/>
      <c r="AA82" s="53"/>
      <c r="AB82" s="53"/>
      <c r="AC82" s="53"/>
      <c r="AD82" s="53"/>
    </row>
    <row r="83" spans="1:30" x14ac:dyDescent="0.3">
      <c r="A83" s="161" t="s">
        <v>240</v>
      </c>
      <c r="B83" s="162">
        <v>0</v>
      </c>
      <c r="C83" s="162">
        <v>0</v>
      </c>
      <c r="D83" s="162">
        <v>0</v>
      </c>
      <c r="E83" s="162">
        <v>0</v>
      </c>
      <c r="F83" s="162">
        <v>0</v>
      </c>
      <c r="G83" s="162">
        <v>0</v>
      </c>
      <c r="H83" s="162">
        <v>0</v>
      </c>
      <c r="I83" s="162">
        <v>0</v>
      </c>
      <c r="J83" s="162">
        <v>0</v>
      </c>
      <c r="K83" s="162">
        <v>0</v>
      </c>
      <c r="L83" s="162">
        <v>0</v>
      </c>
      <c r="M83" s="162">
        <v>0</v>
      </c>
    </row>
    <row r="84" spans="1:30" x14ac:dyDescent="0.3">
      <c r="A84" s="259"/>
      <c r="B84" s="260"/>
      <c r="C84" s="260"/>
      <c r="D84" s="260"/>
      <c r="E84" s="260"/>
      <c r="F84" s="260"/>
      <c r="G84" s="260"/>
      <c r="H84" s="260"/>
      <c r="I84" s="260"/>
      <c r="J84" s="260"/>
      <c r="K84" s="260"/>
      <c r="L84" s="260"/>
      <c r="M84" s="260"/>
    </row>
  </sheetData>
  <mergeCells count="15">
    <mergeCell ref="A32:A34"/>
    <mergeCell ref="B32:M32"/>
    <mergeCell ref="A1:M2"/>
    <mergeCell ref="A3:M3"/>
    <mergeCell ref="R4:AE5"/>
    <mergeCell ref="A5:A7"/>
    <mergeCell ref="B5:M5"/>
    <mergeCell ref="R80:T80"/>
    <mergeCell ref="A84:M84"/>
    <mergeCell ref="A57:M57"/>
    <mergeCell ref="A59:A61"/>
    <mergeCell ref="B59:M59"/>
    <mergeCell ref="R77:U77"/>
    <mergeCell ref="R78:T78"/>
    <mergeCell ref="R79:T7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3ED9-738D-41CA-83DD-CF7415C07FCF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ANEXO</vt:lpstr>
      <vt:lpstr>Contabilización Horaria</vt:lpstr>
      <vt:lpstr>Resumen Conteos</vt:lpstr>
      <vt:lpstr>Cálculo de Fd</vt:lpstr>
      <vt:lpstr>Cálculo TPDA</vt:lpstr>
      <vt:lpstr>Proyecciones</vt:lpstr>
      <vt:lpstr>Consumo Combustible ECUADOR</vt:lpstr>
      <vt:lpstr>Consumo Combustible COLOMBIA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MACE</dc:creator>
  <cp:lastModifiedBy>MACE</cp:lastModifiedBy>
  <dcterms:created xsi:type="dcterms:W3CDTF">2019-02-06T15:15:50Z</dcterms:created>
  <dcterms:modified xsi:type="dcterms:W3CDTF">2019-02-07T15:50:35Z</dcterms:modified>
</cp:coreProperties>
</file>